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5450" windowHeight="8670" activeTab="2"/>
  </bookViews>
  <sheets>
    <sheet name="A級" sheetId="1" r:id="rId1"/>
    <sheet name="B級" sheetId="2" r:id="rId2"/>
    <sheet name="写真集" sheetId="3" r:id="rId3"/>
    <sheet name="歴代入賞者" sheetId="4" r:id="rId4"/>
    <sheet name="登録ナンバー" sheetId="5" r:id="rId5"/>
    <sheet name="盗難及びアドバイス防止措置" sheetId="6" r:id="rId6"/>
    <sheet name="Sheet1" sheetId="7" r:id="rId7"/>
  </sheets>
  <definedNames>
    <definedName name="_xlnm.Print_Area" localSheetId="4">'登録ナンバー'!$A$404:$C$478</definedName>
  </definedNames>
  <calcPr fullCalcOnLoad="1"/>
</workbook>
</file>

<file path=xl/sharedStrings.xml><?xml version="1.0" encoding="utf-8"?>
<sst xmlns="http://schemas.openxmlformats.org/spreadsheetml/2006/main" count="3987" uniqueCount="1859">
  <si>
    <t>3位　池尻・遠池（Kテニス・グリフィンズ）　4位　田中・川並（Kテニス）</t>
  </si>
  <si>
    <t>金武・内田（グリフィンズ・一般）</t>
  </si>
  <si>
    <t>吉野・津田（Kテニスカレッジ）</t>
  </si>
  <si>
    <t>遠池・池尻（グリフィンズ・Kテニス）</t>
  </si>
  <si>
    <r>
      <t>↓ひばり公園　ドームB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</si>
  <si>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外C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</si>
  <si>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外D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</si>
  <si>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外A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</si>
  <si>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↓ひばり公園　外A,B,D　８：４５までに本部に出席を届ける</t>
  </si>
  <si>
    <t>グリフィンズ</t>
  </si>
  <si>
    <t>G01</t>
  </si>
  <si>
    <t>G02</t>
  </si>
  <si>
    <t>東近江グリフィンズ</t>
  </si>
  <si>
    <t>G03</t>
  </si>
  <si>
    <t>G04</t>
  </si>
  <si>
    <t>東近江グリフィンズ</t>
  </si>
  <si>
    <t>G05</t>
  </si>
  <si>
    <t>東近江グリフィンズ</t>
  </si>
  <si>
    <t>G06</t>
  </si>
  <si>
    <t>G07</t>
  </si>
  <si>
    <t>G08</t>
  </si>
  <si>
    <t>グリフィンズ</t>
  </si>
  <si>
    <t>東近江グリフィンズ</t>
  </si>
  <si>
    <t>男</t>
  </si>
  <si>
    <t>G09</t>
  </si>
  <si>
    <t>東近江グリフィンズ</t>
  </si>
  <si>
    <t>男</t>
  </si>
  <si>
    <t>G10</t>
  </si>
  <si>
    <t>G11</t>
  </si>
  <si>
    <t>G12</t>
  </si>
  <si>
    <t>G13</t>
  </si>
  <si>
    <t>G14</t>
  </si>
  <si>
    <t>寿憲</t>
  </si>
  <si>
    <t>G15</t>
  </si>
  <si>
    <t>G16</t>
  </si>
  <si>
    <t>東近江グリフィンズ</t>
  </si>
  <si>
    <t>G17</t>
  </si>
  <si>
    <t>G18</t>
  </si>
  <si>
    <t>G19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</si>
  <si>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</si>
  <si>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</si>
  <si>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</si>
  <si>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</si>
  <si>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</si>
  <si>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</si>
  <si>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</si>
  <si>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</si>
  <si>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</si>
  <si>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</si>
  <si>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</si>
  <si>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</si>
  <si>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</si>
  <si>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</si>
  <si>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</si>
  <si>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</si>
  <si>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</si>
  <si>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</si>
  <si>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</si>
  <si>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久保</t>
  </si>
  <si>
    <t>侑暉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</si>
  <si>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</si>
  <si>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</si>
  <si>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</si>
  <si>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</si>
  <si>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</si>
  <si>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</si>
  <si>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</si>
  <si>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</si>
  <si>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</si>
  <si>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</si>
  <si>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あづさ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</si>
  <si>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</si>
  <si>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</si>
  <si>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</si>
  <si>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</si>
  <si>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</si>
  <si>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</si>
  <si>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</si>
  <si>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</si>
  <si>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</si>
  <si>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悠介</t>
  </si>
  <si>
    <t>男</t>
  </si>
  <si>
    <t>G59</t>
  </si>
  <si>
    <t>貴代美</t>
  </si>
  <si>
    <t>G60</t>
  </si>
  <si>
    <t>武藤</t>
  </si>
  <si>
    <t>幸宏</t>
  </si>
  <si>
    <t>京都市</t>
  </si>
  <si>
    <t>G61</t>
  </si>
  <si>
    <t>小出</t>
  </si>
  <si>
    <t>周平</t>
  </si>
  <si>
    <t>G62</t>
  </si>
  <si>
    <t>中根</t>
  </si>
  <si>
    <t>啓伍</t>
  </si>
  <si>
    <t>G63</t>
  </si>
  <si>
    <t>森田</t>
  </si>
  <si>
    <t>千瑛</t>
  </si>
  <si>
    <t>G64</t>
  </si>
  <si>
    <t>安梨佐</t>
  </si>
  <si>
    <t>G65</t>
  </si>
  <si>
    <t>女</t>
  </si>
  <si>
    <t>G66</t>
  </si>
  <si>
    <t>太田</t>
  </si>
  <si>
    <t>恵莉</t>
  </si>
  <si>
    <t>G67</t>
  </si>
  <si>
    <t>良美</t>
  </si>
  <si>
    <t>G68</t>
  </si>
  <si>
    <t>赤谷</t>
  </si>
  <si>
    <t>恵理</t>
  </si>
  <si>
    <t>G69</t>
  </si>
  <si>
    <t>長田</t>
  </si>
  <si>
    <t>由紀子</t>
  </si>
  <si>
    <t>G70</t>
  </si>
  <si>
    <t>晃輝</t>
  </si>
  <si>
    <t>G71</t>
  </si>
  <si>
    <t>岡島</t>
  </si>
  <si>
    <t>宇史</t>
  </si>
  <si>
    <t>G72</t>
  </si>
  <si>
    <t>小林</t>
  </si>
  <si>
    <t>一成</t>
  </si>
  <si>
    <t>G73</t>
  </si>
  <si>
    <t>寺山</t>
  </si>
  <si>
    <t>愛子</t>
  </si>
  <si>
    <t>G74</t>
  </si>
  <si>
    <t>郊美</t>
  </si>
  <si>
    <t>G75</t>
  </si>
  <si>
    <t>村尾</t>
  </si>
  <si>
    <t>G76</t>
  </si>
  <si>
    <t>大家</t>
  </si>
  <si>
    <t>香</t>
  </si>
  <si>
    <t>H</t>
  </si>
  <si>
    <t>I</t>
  </si>
  <si>
    <t>J</t>
  </si>
  <si>
    <t>川並和之</t>
  </si>
  <si>
    <t>kawanami0930@yahoo.co.jp</t>
  </si>
  <si>
    <t>東近江市</t>
  </si>
  <si>
    <t>川上</t>
  </si>
  <si>
    <t>悠作</t>
  </si>
  <si>
    <t>Jr</t>
  </si>
  <si>
    <t>近江八幡市</t>
  </si>
  <si>
    <t>犬上郡</t>
  </si>
  <si>
    <t>日野町</t>
  </si>
  <si>
    <t>三重県</t>
  </si>
  <si>
    <t>中村</t>
  </si>
  <si>
    <t>浩之</t>
  </si>
  <si>
    <t>彦根市</t>
  </si>
  <si>
    <t>東近江市</t>
  </si>
  <si>
    <t>山口</t>
  </si>
  <si>
    <t>美由希</t>
  </si>
  <si>
    <t>上村</t>
  </si>
  <si>
    <t>悠大</t>
  </si>
  <si>
    <t>Jr</t>
  </si>
  <si>
    <t>中西</t>
  </si>
  <si>
    <t>勇夫</t>
  </si>
  <si>
    <t>大島</t>
  </si>
  <si>
    <t>浩範</t>
  </si>
  <si>
    <t>京都市</t>
  </si>
  <si>
    <t>彦根市</t>
  </si>
  <si>
    <t>上村</t>
  </si>
  <si>
    <t>　武</t>
  </si>
  <si>
    <t>東近江市</t>
  </si>
  <si>
    <t>田中</t>
  </si>
  <si>
    <t>近江八幡市</t>
  </si>
  <si>
    <t>K43</t>
  </si>
  <si>
    <t>恵二</t>
  </si>
  <si>
    <t>K44</t>
  </si>
  <si>
    <t>富永</t>
  </si>
  <si>
    <t>　晶</t>
  </si>
  <si>
    <t>K45</t>
  </si>
  <si>
    <t>K46</t>
  </si>
  <si>
    <t>岩渕</t>
  </si>
  <si>
    <t>光紀</t>
  </si>
  <si>
    <t>K47</t>
  </si>
  <si>
    <t>悠花</t>
  </si>
  <si>
    <t>K48</t>
  </si>
  <si>
    <t>稲継</t>
  </si>
  <si>
    <t>馨</t>
  </si>
  <si>
    <t>K49</t>
  </si>
  <si>
    <t>梅津</t>
  </si>
  <si>
    <t>圭</t>
  </si>
  <si>
    <t>大阪市</t>
  </si>
  <si>
    <t>K50</t>
  </si>
  <si>
    <t>中西</t>
  </si>
  <si>
    <t>泰輝</t>
  </si>
  <si>
    <t>L</t>
  </si>
  <si>
    <t>村田ＴＣ</t>
  </si>
  <si>
    <t>村田八日市ＴＣ</t>
  </si>
  <si>
    <t>M01</t>
  </si>
  <si>
    <t>村田ＴＣ</t>
  </si>
  <si>
    <t>村田八日市ＴＣ</t>
  </si>
  <si>
    <t>村田ＴＣ</t>
  </si>
  <si>
    <t>村田八日市ＴＣ</t>
  </si>
  <si>
    <t>村田ＴＣ</t>
  </si>
  <si>
    <t>村田八日市ＴＣ</t>
  </si>
  <si>
    <t>村田ＴＣ</t>
  </si>
  <si>
    <t>村田八日市ＴＣ</t>
  </si>
  <si>
    <t>村田ＴＣ</t>
  </si>
  <si>
    <t>村田八日市ＴＣ</t>
  </si>
  <si>
    <t>村田八日市ＴＣ</t>
  </si>
  <si>
    <t>村田ＴＣ</t>
  </si>
  <si>
    <t>村田ＴＣ</t>
  </si>
  <si>
    <t>村田ＴＣ</t>
  </si>
  <si>
    <t>村田ＴＣ</t>
  </si>
  <si>
    <t>村田八日市ＴＣ</t>
  </si>
  <si>
    <t>男</t>
  </si>
  <si>
    <t>村田八日市ＴＣ</t>
  </si>
  <si>
    <t>男</t>
  </si>
  <si>
    <t>村田ＴＣ</t>
  </si>
  <si>
    <t>村田ＴＣ</t>
  </si>
  <si>
    <t>村田八日市ＴＣ</t>
  </si>
  <si>
    <t>村田ＴＣ</t>
  </si>
  <si>
    <t>村田八日市ＴＣ</t>
  </si>
  <si>
    <t>村田ＴＣ</t>
  </si>
  <si>
    <t>村田ＴＣ</t>
  </si>
  <si>
    <t>村田ＴＣ</t>
  </si>
  <si>
    <t>村田八日市ＴＣ</t>
  </si>
  <si>
    <t>男</t>
  </si>
  <si>
    <t>村田八日市ＴＣ</t>
  </si>
  <si>
    <t>村田ＴＣ</t>
  </si>
  <si>
    <t>村田八日市ＴＣ</t>
  </si>
  <si>
    <t>女</t>
  </si>
  <si>
    <t>村田ＴＣ</t>
  </si>
  <si>
    <t>村田ＴＣ</t>
  </si>
  <si>
    <t>村田ＴＣ</t>
  </si>
  <si>
    <t>村田ＴＣ</t>
  </si>
  <si>
    <t>南井</t>
  </si>
  <si>
    <t>まどか</t>
  </si>
  <si>
    <t>南井まどか</t>
  </si>
  <si>
    <t>多佳美</t>
  </si>
  <si>
    <t>澤田多佳美</t>
  </si>
  <si>
    <t>M53</t>
  </si>
  <si>
    <t>杉山</t>
  </si>
  <si>
    <t>春澄</t>
  </si>
  <si>
    <t>村田ＴＣ</t>
  </si>
  <si>
    <t>杉山春澄</t>
  </si>
  <si>
    <t>村田八日市ＴＣ</t>
  </si>
  <si>
    <t>男</t>
  </si>
  <si>
    <t>N</t>
  </si>
  <si>
    <t>O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</si>
  <si>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</si>
  <si>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</si>
  <si>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</si>
  <si>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</si>
  <si>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</si>
  <si>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</si>
  <si>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</si>
  <si>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P28</t>
  </si>
  <si>
    <t>P30</t>
  </si>
  <si>
    <t>Q</t>
  </si>
  <si>
    <t>R</t>
  </si>
  <si>
    <t>サプラ</t>
  </si>
  <si>
    <t>真佐子</t>
  </si>
  <si>
    <t>サプラ</t>
  </si>
  <si>
    <t>那須</t>
  </si>
  <si>
    <t>且良</t>
  </si>
  <si>
    <t>サプラ　</t>
  </si>
  <si>
    <t>S21</t>
  </si>
  <si>
    <t>高橋</t>
  </si>
  <si>
    <t>昌平</t>
  </si>
  <si>
    <t>サプラ　</t>
  </si>
  <si>
    <t>湖南市</t>
  </si>
  <si>
    <t>ＴＤＣ</t>
  </si>
  <si>
    <t>TDC</t>
  </si>
  <si>
    <t>TDC</t>
  </si>
  <si>
    <t>TDC</t>
  </si>
  <si>
    <t>TDC</t>
  </si>
  <si>
    <t>TDC</t>
  </si>
  <si>
    <t>TDC</t>
  </si>
  <si>
    <t>TDC</t>
  </si>
  <si>
    <t>T13</t>
  </si>
  <si>
    <t>TDC</t>
  </si>
  <si>
    <t>T14</t>
  </si>
  <si>
    <t>TDC</t>
  </si>
  <si>
    <t>T15</t>
  </si>
  <si>
    <t>T16</t>
  </si>
  <si>
    <t>山岡</t>
  </si>
  <si>
    <t>山岡千春</t>
  </si>
  <si>
    <t>TDC</t>
  </si>
  <si>
    <t>T17</t>
  </si>
  <si>
    <t>姫井</t>
  </si>
  <si>
    <t>亜利沙</t>
  </si>
  <si>
    <t>TDC</t>
  </si>
  <si>
    <t>姫井亜里抄</t>
  </si>
  <si>
    <t>T18</t>
  </si>
  <si>
    <t>片桐</t>
  </si>
  <si>
    <t>美里</t>
  </si>
  <si>
    <t>片桐美里</t>
  </si>
  <si>
    <t>TDC</t>
  </si>
  <si>
    <t>T19</t>
  </si>
  <si>
    <t>靖之</t>
  </si>
  <si>
    <t>TDC</t>
  </si>
  <si>
    <t>片桐靖之</t>
  </si>
  <si>
    <t>TDC</t>
  </si>
  <si>
    <t>T20</t>
  </si>
  <si>
    <t>石内</t>
  </si>
  <si>
    <t>伸幸</t>
  </si>
  <si>
    <t>TDC</t>
  </si>
  <si>
    <t>石内伸幸</t>
  </si>
  <si>
    <t>U01</t>
  </si>
  <si>
    <t>U02</t>
  </si>
  <si>
    <t>U03</t>
  </si>
  <si>
    <t>U04</t>
  </si>
  <si>
    <t>男</t>
  </si>
  <si>
    <t>U05</t>
  </si>
  <si>
    <t>U06</t>
  </si>
  <si>
    <t>U07</t>
  </si>
  <si>
    <t>男</t>
  </si>
  <si>
    <t>U08</t>
  </si>
  <si>
    <t>U09</t>
  </si>
  <si>
    <t>男</t>
  </si>
  <si>
    <t>U10</t>
  </si>
  <si>
    <t>男</t>
  </si>
  <si>
    <t>U11</t>
  </si>
  <si>
    <t>U12</t>
  </si>
  <si>
    <t>男</t>
  </si>
  <si>
    <t>U13</t>
  </si>
  <si>
    <t>U14</t>
  </si>
  <si>
    <t>U15</t>
  </si>
  <si>
    <t>男</t>
  </si>
  <si>
    <t>U16</t>
  </si>
  <si>
    <t>U17</t>
  </si>
  <si>
    <t>U18</t>
  </si>
  <si>
    <t>U19</t>
  </si>
  <si>
    <t>U20</t>
  </si>
  <si>
    <t xml:space="preserve"> 淳</t>
  </si>
  <si>
    <t>U21</t>
  </si>
  <si>
    <t>U22</t>
  </si>
  <si>
    <t>U23</t>
  </si>
  <si>
    <t>U24</t>
  </si>
  <si>
    <t>男</t>
  </si>
  <si>
    <t>U25</t>
  </si>
  <si>
    <t>田中</t>
  </si>
  <si>
    <t>邦明</t>
  </si>
  <si>
    <t>U26</t>
  </si>
  <si>
    <t>U27</t>
  </si>
  <si>
    <t>U28</t>
  </si>
  <si>
    <t>ｊｒ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</si>
  <si>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</si>
  <si>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</si>
  <si>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</si>
  <si>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</si>
  <si>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</si>
  <si>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</si>
  <si>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</si>
  <si>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</si>
  <si>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</si>
  <si>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</si>
  <si>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</si>
  <si>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</si>
  <si>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</si>
  <si>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</si>
  <si>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</si>
  <si>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</si>
  <si>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</si>
  <si>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</si>
  <si>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新井</t>
  </si>
  <si>
    <t>雄己</t>
  </si>
  <si>
    <t>男</t>
  </si>
  <si>
    <t>U47</t>
  </si>
  <si>
    <t>山田</t>
  </si>
  <si>
    <t>和宏</t>
  </si>
  <si>
    <t>山田和宏</t>
  </si>
  <si>
    <t>男</t>
  </si>
  <si>
    <t>U48</t>
  </si>
  <si>
    <t>西和田</t>
  </si>
  <si>
    <t>昌恭</t>
  </si>
  <si>
    <t>西和田昌恭</t>
  </si>
  <si>
    <t>男</t>
  </si>
  <si>
    <t>U49</t>
  </si>
  <si>
    <t>島</t>
  </si>
  <si>
    <t>新治</t>
  </si>
  <si>
    <t>島新治</t>
  </si>
  <si>
    <t>男</t>
  </si>
  <si>
    <t>U50</t>
  </si>
  <si>
    <t>みほ</t>
  </si>
  <si>
    <t>うさかめ</t>
  </si>
  <si>
    <t>山田みほ</t>
  </si>
  <si>
    <t>OK</t>
  </si>
  <si>
    <t>V</t>
  </si>
  <si>
    <t>代表　鈴木正樹</t>
  </si>
  <si>
    <t>suzuki@at-school.jp</t>
  </si>
  <si>
    <t>ワンダー</t>
  </si>
  <si>
    <t>ＴＣワンダー</t>
  </si>
  <si>
    <t>W01</t>
  </si>
  <si>
    <t>森下</t>
  </si>
  <si>
    <t>皓太</t>
  </si>
  <si>
    <t>TCワンダー</t>
  </si>
  <si>
    <t>Ｊｒ</t>
  </si>
  <si>
    <t>TCワンダー</t>
  </si>
  <si>
    <t>W02</t>
  </si>
  <si>
    <t>悠太</t>
  </si>
  <si>
    <t>W03</t>
  </si>
  <si>
    <t>大道</t>
  </si>
  <si>
    <t>拓実</t>
  </si>
  <si>
    <t>西宮市</t>
  </si>
  <si>
    <t>W04</t>
  </si>
  <si>
    <t>正樹</t>
  </si>
  <si>
    <t>W05</t>
  </si>
  <si>
    <t>河室</t>
  </si>
  <si>
    <t>女</t>
  </si>
  <si>
    <t>W06</t>
  </si>
  <si>
    <t>梅景</t>
  </si>
  <si>
    <t>佐緒里</t>
  </si>
  <si>
    <t>TCワンダー</t>
  </si>
  <si>
    <t>W07</t>
  </si>
  <si>
    <t>麗奈</t>
  </si>
  <si>
    <t>TCワンダー</t>
  </si>
  <si>
    <t>W08</t>
  </si>
  <si>
    <t>仁美</t>
  </si>
  <si>
    <t>W09</t>
  </si>
  <si>
    <t>堤</t>
  </si>
  <si>
    <t>里奈</t>
  </si>
  <si>
    <t>W10</t>
  </si>
  <si>
    <t>小島</t>
  </si>
  <si>
    <t>千明</t>
  </si>
  <si>
    <t>X</t>
  </si>
  <si>
    <t>Mut</t>
  </si>
  <si>
    <t>Y03</t>
  </si>
  <si>
    <t>Mut</t>
  </si>
  <si>
    <t>Mut</t>
  </si>
  <si>
    <t>Mut</t>
  </si>
  <si>
    <t>Y15</t>
  </si>
  <si>
    <t>拓也</t>
  </si>
  <si>
    <t>Y16</t>
  </si>
  <si>
    <t>小田</t>
  </si>
  <si>
    <t>紀彦</t>
  </si>
  <si>
    <t>Mut</t>
  </si>
  <si>
    <t>Y17</t>
  </si>
  <si>
    <t>中川</t>
  </si>
  <si>
    <t>久江</t>
  </si>
  <si>
    <t>Z</t>
  </si>
  <si>
    <t>塩谷</t>
  </si>
  <si>
    <t>敦彦</t>
  </si>
  <si>
    <t>良人</t>
  </si>
  <si>
    <t>由子</t>
  </si>
  <si>
    <t>伊藤</t>
  </si>
  <si>
    <t>牧子</t>
  </si>
  <si>
    <t>容子</t>
  </si>
  <si>
    <t>出縄</t>
  </si>
  <si>
    <t>久子</t>
  </si>
  <si>
    <t>K42</t>
  </si>
  <si>
    <t>稲岡</t>
  </si>
  <si>
    <t>和紀</t>
  </si>
  <si>
    <t>T01</t>
  </si>
  <si>
    <t>亀井</t>
  </si>
  <si>
    <t>雅嗣</t>
  </si>
  <si>
    <t>皓太</t>
  </si>
  <si>
    <t>Jr</t>
  </si>
  <si>
    <t>浩之</t>
  </si>
  <si>
    <t>仙波</t>
  </si>
  <si>
    <t>敬子</t>
  </si>
  <si>
    <t>近江八幡市</t>
  </si>
  <si>
    <t>直貴</t>
  </si>
  <si>
    <t>K38</t>
  </si>
  <si>
    <t>　誠</t>
  </si>
  <si>
    <t>K39</t>
  </si>
  <si>
    <t>K40</t>
  </si>
  <si>
    <t>竜王町</t>
  </si>
  <si>
    <t>K41</t>
  </si>
  <si>
    <t>代表者　杉山邦夫</t>
  </si>
  <si>
    <t>M03</t>
  </si>
  <si>
    <t>M04</t>
  </si>
  <si>
    <t>徳永</t>
  </si>
  <si>
    <t xml:space="preserve"> 剛</t>
  </si>
  <si>
    <t>悟朗</t>
  </si>
  <si>
    <t xml:space="preserve"> 大</t>
  </si>
  <si>
    <t>杉山</t>
  </si>
  <si>
    <t>あずさ</t>
  </si>
  <si>
    <t>文代</t>
  </si>
  <si>
    <t>村田</t>
  </si>
  <si>
    <t>村川</t>
  </si>
  <si>
    <t>洋平</t>
  </si>
  <si>
    <t>田淵</t>
  </si>
  <si>
    <t>敏史</t>
  </si>
  <si>
    <t>M49</t>
  </si>
  <si>
    <t>穐山</t>
  </si>
  <si>
    <t xml:space="preserve">  航</t>
  </si>
  <si>
    <t>M50</t>
  </si>
  <si>
    <t>国太郎</t>
  </si>
  <si>
    <t>M51</t>
  </si>
  <si>
    <t>M52</t>
  </si>
  <si>
    <t>安田　和彦</t>
  </si>
  <si>
    <t>kazuyasu7674@yahoo.co.jp</t>
  </si>
  <si>
    <t xml:space="preserve"> </t>
  </si>
  <si>
    <t>P01</t>
  </si>
  <si>
    <t>P01</t>
  </si>
  <si>
    <t>P02</t>
  </si>
  <si>
    <t xml:space="preserve"> 潤</t>
  </si>
  <si>
    <t>堀江</t>
  </si>
  <si>
    <t>孝信</t>
  </si>
  <si>
    <t>新屋</t>
  </si>
  <si>
    <t>正男</t>
  </si>
  <si>
    <t>青木</t>
  </si>
  <si>
    <t>保憲</t>
  </si>
  <si>
    <t>一男</t>
  </si>
  <si>
    <t>鶴田</t>
  </si>
  <si>
    <t xml:space="preserve"> 進</t>
  </si>
  <si>
    <t>P29</t>
  </si>
  <si>
    <t>P31</t>
  </si>
  <si>
    <t>苗村</t>
  </si>
  <si>
    <t>裕子</t>
  </si>
  <si>
    <t>P32</t>
  </si>
  <si>
    <t>五十嵐</t>
  </si>
  <si>
    <t>英毅</t>
  </si>
  <si>
    <t>宇尾数行</t>
  </si>
  <si>
    <t>oonamazu01@yahoo.co.jp</t>
  </si>
  <si>
    <t>S01</t>
  </si>
  <si>
    <t>本田</t>
  </si>
  <si>
    <t>健一</t>
  </si>
  <si>
    <t>野村　良平</t>
  </si>
  <si>
    <t>one_0nly_clear_way@yahoo.co.jp</t>
  </si>
  <si>
    <t>TDC</t>
  </si>
  <si>
    <t>野村</t>
  </si>
  <si>
    <t>良平</t>
  </si>
  <si>
    <t>T02</t>
  </si>
  <si>
    <t>鹿野</t>
  </si>
  <si>
    <t>雄大</t>
  </si>
  <si>
    <t>T03</t>
  </si>
  <si>
    <t xml:space="preserve"> 猛</t>
  </si>
  <si>
    <t>T04</t>
  </si>
  <si>
    <t>上津</t>
  </si>
  <si>
    <t>慶和</t>
  </si>
  <si>
    <t>T05</t>
  </si>
  <si>
    <t>松本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</si>
  <si>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</si>
  <si>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</si>
  <si>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</si>
  <si>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</si>
  <si>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</si>
  <si>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</si>
  <si>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</si>
  <si>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</si>
  <si>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</si>
  <si>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まき</t>
  </si>
  <si>
    <t>TDC</t>
  </si>
  <si>
    <t>T09</t>
  </si>
  <si>
    <t>前川</t>
  </si>
  <si>
    <t>美恵</t>
  </si>
  <si>
    <t>TDC</t>
  </si>
  <si>
    <t>T10</t>
  </si>
  <si>
    <t>草野</t>
  </si>
  <si>
    <t>菜摘</t>
  </si>
  <si>
    <t>T11</t>
  </si>
  <si>
    <t>高橋</t>
  </si>
  <si>
    <t>和也</t>
  </si>
  <si>
    <t>T12</t>
  </si>
  <si>
    <t>川下</t>
  </si>
  <si>
    <t>上原</t>
  </si>
  <si>
    <t>義弘</t>
  </si>
  <si>
    <t>東山</t>
  </si>
  <si>
    <t xml:space="preserve"> 博</t>
  </si>
  <si>
    <t>中尾</t>
  </si>
  <si>
    <t xml:space="preserve"> 巧</t>
  </si>
  <si>
    <t>大阪府</t>
  </si>
  <si>
    <t>うさぎとかめの集い</t>
  </si>
  <si>
    <t>漆原</t>
  </si>
  <si>
    <t>大介</t>
  </si>
  <si>
    <t>漆原大介</t>
  </si>
  <si>
    <t>金子</t>
  </si>
  <si>
    <t>雅也</t>
  </si>
  <si>
    <t>金子雅也</t>
  </si>
  <si>
    <t>小嶋</t>
  </si>
  <si>
    <t>凜太郎</t>
  </si>
  <si>
    <t>小嶋凜太郎</t>
  </si>
  <si>
    <t>末</t>
  </si>
  <si>
    <t>末和也</t>
  </si>
  <si>
    <t>中井</t>
  </si>
  <si>
    <t>夏樹</t>
  </si>
  <si>
    <t>中井夏樹</t>
  </si>
  <si>
    <t>倍田</t>
  </si>
  <si>
    <t xml:space="preserve"> 武</t>
  </si>
  <si>
    <t xml:space="preserve"> 彰</t>
  </si>
  <si>
    <t>中原</t>
  </si>
  <si>
    <t>康晶</t>
  </si>
  <si>
    <t xml:space="preserve"> 聖</t>
  </si>
  <si>
    <t>叶丸</t>
  </si>
  <si>
    <t>利恵子</t>
  </si>
  <si>
    <t>叶丸利恵子</t>
  </si>
  <si>
    <t>倍田優子</t>
  </si>
  <si>
    <t>竹下</t>
  </si>
  <si>
    <t>野上</t>
  </si>
  <si>
    <t>亮平</t>
  </si>
  <si>
    <t>神田</t>
  </si>
  <si>
    <t>圭右</t>
  </si>
  <si>
    <t>岐阜市</t>
  </si>
  <si>
    <t>山脇</t>
  </si>
  <si>
    <t>慶子</t>
  </si>
  <si>
    <t>代表　辻　真弓</t>
  </si>
  <si>
    <t>gentian-18@e-omi.ne.jp</t>
  </si>
  <si>
    <t>Mut</t>
  </si>
  <si>
    <t>略称</t>
  </si>
  <si>
    <t>Mut(ムート）</t>
  </si>
  <si>
    <t>正式名称</t>
  </si>
  <si>
    <t>Y01</t>
  </si>
  <si>
    <t>真弓</t>
  </si>
  <si>
    <t>Mut</t>
  </si>
  <si>
    <t>東近江市</t>
  </si>
  <si>
    <t>Y02</t>
  </si>
  <si>
    <t>淳子</t>
  </si>
  <si>
    <t>山口</t>
  </si>
  <si>
    <t>稔貴</t>
  </si>
  <si>
    <t>Mut</t>
  </si>
  <si>
    <t>Y04</t>
  </si>
  <si>
    <t>白井</t>
  </si>
  <si>
    <t>秀幸</t>
  </si>
  <si>
    <t>Y05</t>
  </si>
  <si>
    <t>悟志</t>
  </si>
  <si>
    <t>Mut</t>
  </si>
  <si>
    <t>Y06</t>
  </si>
  <si>
    <t>津曲</t>
  </si>
  <si>
    <t>崇志</t>
  </si>
  <si>
    <t>Y07</t>
  </si>
  <si>
    <t>浜中</t>
  </si>
  <si>
    <t>岳史</t>
  </si>
  <si>
    <t>Y08</t>
  </si>
  <si>
    <t>三浦</t>
  </si>
  <si>
    <t>朱莉</t>
  </si>
  <si>
    <t>Y09</t>
  </si>
  <si>
    <t>福本</t>
  </si>
  <si>
    <t>香菜実</t>
  </si>
  <si>
    <t>Y10</t>
  </si>
  <si>
    <t>大野</t>
  </si>
  <si>
    <t>みずき</t>
  </si>
  <si>
    <t>Y11</t>
  </si>
  <si>
    <t>嶋村</t>
  </si>
  <si>
    <t>Y12</t>
  </si>
  <si>
    <t>川合</t>
  </si>
  <si>
    <t>優</t>
  </si>
  <si>
    <t>Y13</t>
  </si>
  <si>
    <t>Y14</t>
  </si>
  <si>
    <t>寺村</t>
  </si>
  <si>
    <t>浩一</t>
  </si>
  <si>
    <t>S19</t>
  </si>
  <si>
    <t>更家</t>
  </si>
  <si>
    <t>S20</t>
  </si>
  <si>
    <t>由紀</t>
  </si>
  <si>
    <t>サプラ</t>
  </si>
  <si>
    <t>湖東プラチナ</t>
  </si>
  <si>
    <t>湖東プラチナ</t>
  </si>
  <si>
    <t>梅田</t>
  </si>
  <si>
    <t>勉</t>
  </si>
  <si>
    <t>甲賀市</t>
  </si>
  <si>
    <t>永瀬</t>
  </si>
  <si>
    <t>卓夫</t>
  </si>
  <si>
    <t>西田</t>
  </si>
  <si>
    <t>和教</t>
  </si>
  <si>
    <t>彩子</t>
  </si>
  <si>
    <t>　淳</t>
  </si>
  <si>
    <t>名田</t>
  </si>
  <si>
    <t>育子</t>
  </si>
  <si>
    <t>M47</t>
  </si>
  <si>
    <t>遠崎</t>
  </si>
  <si>
    <t>大樹</t>
  </si>
  <si>
    <t>P02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</si>
  <si>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</si>
  <si>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</si>
  <si>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</si>
  <si>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</si>
  <si>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</si>
  <si>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</si>
  <si>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</si>
  <si>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</si>
  <si>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</si>
  <si>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</si>
  <si>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</si>
  <si>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</si>
  <si>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</si>
  <si>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</si>
  <si>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</si>
  <si>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</si>
  <si>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</si>
  <si>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</si>
  <si>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</si>
  <si>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</si>
  <si>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</si>
  <si>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</si>
  <si>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</si>
  <si>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一色</t>
  </si>
  <si>
    <t>西崎</t>
  </si>
  <si>
    <t>友香</t>
  </si>
  <si>
    <t>東近江市　市民率</t>
  </si>
  <si>
    <t>栗東市</t>
  </si>
  <si>
    <t>久田</t>
  </si>
  <si>
    <t>本池</t>
  </si>
  <si>
    <t>清子</t>
  </si>
  <si>
    <t>川勝</t>
  </si>
  <si>
    <t>豊子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</si>
  <si>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</si>
  <si>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</si>
  <si>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</si>
  <si>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</si>
  <si>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</si>
  <si>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</si>
  <si>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</si>
  <si>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</si>
  <si>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</si>
  <si>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</si>
  <si>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</si>
  <si>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</si>
  <si>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</si>
  <si>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</si>
  <si>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</si>
  <si>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</si>
  <si>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</si>
  <si>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</si>
  <si>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</si>
  <si>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</si>
  <si>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</si>
  <si>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</si>
  <si>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蒲生郡</t>
  </si>
  <si>
    <t>富憲</t>
  </si>
  <si>
    <t>西原</t>
  </si>
  <si>
    <t>達也</t>
  </si>
  <si>
    <t>京都府</t>
  </si>
  <si>
    <t>　豊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</si>
  <si>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</si>
  <si>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</si>
  <si>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</si>
  <si>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</si>
  <si>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</si>
  <si>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</si>
  <si>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</si>
  <si>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</si>
  <si>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二ツ井</t>
  </si>
  <si>
    <t>裕也</t>
  </si>
  <si>
    <t>森永</t>
  </si>
  <si>
    <t>洋介</t>
  </si>
  <si>
    <t>M46</t>
  </si>
  <si>
    <t>庸子</t>
  </si>
  <si>
    <t>小川</t>
  </si>
  <si>
    <t>文雄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</si>
  <si>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</si>
  <si>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</si>
  <si>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</si>
  <si>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</si>
  <si>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</si>
  <si>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</si>
  <si>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</si>
  <si>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</si>
  <si>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</si>
  <si>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</si>
  <si>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</si>
  <si>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</si>
  <si>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</si>
  <si>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</si>
  <si>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</si>
  <si>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</si>
  <si>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</si>
  <si>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</si>
  <si>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</si>
  <si>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</si>
  <si>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</si>
  <si>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</si>
  <si>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</si>
  <si>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</si>
  <si>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</si>
  <si>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</si>
  <si>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</si>
  <si>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</si>
  <si>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</si>
  <si>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</si>
  <si>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</si>
  <si>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</si>
  <si>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</si>
  <si>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</si>
  <si>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</si>
  <si>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</si>
  <si>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</si>
  <si>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</si>
  <si>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</si>
  <si>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</si>
  <si>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</si>
  <si>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</si>
  <si>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</si>
  <si>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</si>
  <si>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</si>
  <si>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</si>
  <si>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高瀬</t>
  </si>
  <si>
    <t>眞志</t>
  </si>
  <si>
    <t>あつみ</t>
  </si>
  <si>
    <t>プラチナ</t>
  </si>
  <si>
    <t>プラチナ</t>
  </si>
  <si>
    <t>澤井</t>
  </si>
  <si>
    <t>恵子</t>
  </si>
  <si>
    <t>東近江市民</t>
  </si>
  <si>
    <t>東近江市民率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</si>
  <si>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</si>
  <si>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</si>
  <si>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</si>
  <si>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</si>
  <si>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</si>
  <si>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</si>
  <si>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</si>
  <si>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</si>
  <si>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</si>
  <si>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</si>
  <si>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</si>
  <si>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</si>
  <si>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土田</t>
  </si>
  <si>
    <t>典人</t>
  </si>
  <si>
    <t>辰巳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</si>
  <si>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</si>
  <si>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</si>
  <si>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</si>
  <si>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</si>
  <si>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</si>
  <si>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</si>
  <si>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</si>
  <si>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</si>
  <si>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</si>
  <si>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</si>
  <si>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長谷川</t>
  </si>
  <si>
    <t>愛知郡</t>
  </si>
  <si>
    <t>奥内</t>
  </si>
  <si>
    <t>今井</t>
  </si>
  <si>
    <t>川崎</t>
  </si>
  <si>
    <t>悦子</t>
  </si>
  <si>
    <t>矢野</t>
  </si>
  <si>
    <t>彦根市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</si>
  <si>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</si>
  <si>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</si>
  <si>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</si>
  <si>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</si>
  <si>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</si>
  <si>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</si>
  <si>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</si>
  <si>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</si>
  <si>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</si>
  <si>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</si>
  <si>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</si>
  <si>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</si>
  <si>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</si>
  <si>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吉村</t>
  </si>
  <si>
    <t>リーグ1</t>
  </si>
  <si>
    <t>成　績</t>
  </si>
  <si>
    <t>順　位</t>
  </si>
  <si>
    <t>ここに</t>
  </si>
  <si>
    <t>・</t>
  </si>
  <si>
    <t>-</t>
  </si>
  <si>
    <t>③</t>
  </si>
  <si>
    <t>②</t>
  </si>
  <si>
    <t>登録No</t>
  </si>
  <si>
    <t>①</t>
  </si>
  <si>
    <r>
      <t>↓ひばり公園　ドームA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</si>
  <si>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</si>
  <si>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順位決定方法　①勝数　②直接対決　③取得ゲーム率（取得ゲーム数/全ゲーム数）</t>
  </si>
  <si>
    <t>決勝トーナメント</t>
  </si>
  <si>
    <t>優勝</t>
  </si>
  <si>
    <t>３位決定戦</t>
  </si>
  <si>
    <t>3位</t>
  </si>
  <si>
    <t>リーグ2</t>
  </si>
  <si>
    <t>リーグ3</t>
  </si>
  <si>
    <t>G20</t>
  </si>
  <si>
    <t>C09</t>
  </si>
  <si>
    <t>リーグ4</t>
  </si>
  <si>
    <t>ＢＹＥ</t>
  </si>
  <si>
    <t>リーグ5</t>
  </si>
  <si>
    <t>リーグ6</t>
  </si>
  <si>
    <t>１位トーナメント</t>
  </si>
  <si>
    <t>２位トーナメント</t>
  </si>
  <si>
    <t>3位トーナメント</t>
  </si>
  <si>
    <t>Lリーグ１位</t>
  </si>
  <si>
    <t>Lリーグ４位</t>
  </si>
  <si>
    <t>Lリーグ2位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</si>
  <si>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</si>
  <si>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</si>
  <si>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</si>
  <si>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</si>
  <si>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</si>
  <si>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</si>
  <si>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</si>
  <si>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</si>
  <si>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</si>
  <si>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</si>
  <si>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</si>
  <si>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</si>
  <si>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</si>
  <si>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</si>
  <si>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</si>
  <si>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</si>
  <si>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</si>
  <si>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</si>
  <si>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</si>
  <si>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</si>
  <si>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</si>
  <si>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</si>
  <si>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</si>
  <si>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</si>
  <si>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</si>
  <si>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</si>
  <si>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</si>
  <si>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</si>
  <si>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</si>
  <si>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</si>
  <si>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</si>
  <si>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</si>
  <si>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</si>
  <si>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</si>
  <si>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</si>
  <si>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</si>
  <si>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</si>
  <si>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</si>
  <si>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</si>
  <si>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</si>
  <si>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</si>
  <si>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</si>
  <si>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</si>
  <si>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</si>
  <si>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</si>
  <si>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</si>
  <si>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</si>
  <si>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</si>
  <si>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</si>
  <si>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</si>
  <si>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</si>
  <si>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</si>
  <si>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</si>
  <si>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</si>
  <si>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</si>
  <si>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</si>
  <si>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</si>
  <si>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</si>
  <si>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</si>
  <si>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</si>
  <si>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</si>
  <si>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</si>
  <si>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</si>
  <si>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</si>
  <si>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</si>
  <si>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</si>
  <si>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</si>
  <si>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</si>
  <si>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</si>
  <si>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</si>
  <si>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</si>
  <si>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</si>
  <si>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</si>
  <si>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</si>
  <si>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</si>
  <si>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</si>
  <si>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</si>
  <si>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</si>
  <si>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</si>
  <si>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</si>
  <si>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</si>
  <si>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</si>
  <si>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</si>
  <si>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</si>
  <si>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</si>
  <si>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</si>
  <si>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</si>
  <si>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</si>
  <si>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</si>
  <si>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</si>
  <si>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</si>
  <si>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</si>
  <si>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</si>
  <si>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</si>
  <si>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</si>
  <si>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</si>
  <si>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</si>
  <si>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</si>
  <si>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</si>
  <si>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</si>
  <si>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</si>
  <si>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</si>
  <si>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</si>
  <si>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</si>
  <si>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</si>
  <si>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</si>
  <si>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</si>
  <si>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</si>
  <si>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</si>
  <si>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</si>
  <si>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</si>
  <si>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</si>
  <si>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</si>
  <si>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</si>
  <si>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</si>
  <si>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</si>
  <si>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</si>
  <si>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</si>
  <si>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</si>
  <si>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</si>
  <si>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</si>
  <si>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</si>
  <si>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</si>
  <si>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</si>
  <si>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</si>
  <si>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</si>
  <si>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</si>
  <si>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</si>
  <si>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</si>
  <si>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</si>
  <si>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</si>
  <si>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</si>
  <si>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</si>
  <si>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</si>
  <si>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</si>
  <si>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</si>
  <si>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</si>
  <si>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</si>
  <si>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</si>
  <si>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</si>
  <si>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</si>
  <si>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</si>
  <si>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</si>
  <si>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</si>
  <si>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</si>
  <si>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</si>
  <si>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</si>
  <si>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</si>
  <si>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</si>
  <si>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</si>
  <si>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</si>
  <si>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</si>
  <si>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</si>
  <si>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</si>
  <si>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</si>
  <si>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</si>
  <si>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</si>
  <si>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</si>
  <si>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</si>
  <si>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</si>
  <si>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</si>
  <si>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</si>
  <si>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</si>
  <si>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</si>
  <si>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</si>
  <si>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</si>
  <si>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</si>
  <si>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</si>
  <si>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</si>
  <si>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</si>
  <si>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</si>
  <si>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</si>
  <si>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</si>
  <si>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</si>
  <si>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</si>
  <si>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</si>
  <si>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</si>
  <si>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</si>
  <si>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</si>
  <si>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</si>
  <si>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</si>
  <si>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</si>
  <si>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</si>
  <si>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</si>
  <si>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</si>
  <si>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</si>
  <si>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</si>
  <si>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</si>
  <si>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</si>
  <si>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</si>
  <si>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</si>
  <si>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</si>
  <si>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</si>
  <si>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</si>
  <si>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</si>
  <si>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</si>
  <si>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</si>
  <si>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</si>
  <si>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</si>
  <si>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</si>
  <si>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</si>
  <si>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</si>
  <si>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</si>
  <si>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</si>
  <si>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</si>
  <si>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</si>
  <si>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</si>
  <si>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</si>
  <si>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</si>
  <si>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</si>
  <si>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</si>
  <si>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</si>
  <si>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</si>
  <si>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</si>
  <si>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</si>
  <si>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</si>
  <si>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</si>
  <si>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</si>
  <si>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</si>
  <si>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</si>
  <si>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</si>
  <si>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</si>
  <si>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</si>
  <si>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</si>
  <si>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</si>
  <si>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</si>
  <si>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</si>
  <si>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</si>
  <si>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</si>
  <si>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</si>
  <si>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</si>
  <si>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</si>
  <si>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</si>
  <si>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</si>
  <si>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</si>
  <si>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</si>
  <si>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</si>
  <si>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</si>
  <si>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</si>
  <si>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</si>
  <si>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</si>
  <si>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</si>
  <si>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</si>
  <si>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</si>
  <si>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</si>
  <si>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</si>
  <si>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</si>
  <si>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</si>
  <si>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</si>
  <si>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</si>
  <si>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</si>
  <si>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</si>
  <si>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</si>
  <si>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</si>
  <si>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</si>
  <si>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</si>
  <si>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</si>
  <si>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</si>
  <si>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</si>
  <si>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</si>
  <si>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</si>
  <si>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</si>
  <si>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</si>
  <si>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</si>
  <si>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</si>
  <si>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</si>
  <si>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</si>
  <si>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</si>
  <si>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</si>
  <si>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</si>
  <si>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</si>
  <si>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</si>
  <si>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</si>
  <si>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</si>
  <si>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</si>
  <si>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</si>
  <si>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</si>
  <si>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</si>
  <si>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</si>
  <si>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</si>
  <si>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</si>
  <si>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</si>
  <si>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</si>
  <si>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</si>
  <si>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</si>
  <si>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</si>
  <si>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</si>
  <si>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</si>
  <si>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</si>
  <si>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</si>
  <si>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</si>
  <si>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</si>
  <si>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</si>
  <si>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</si>
  <si>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</si>
  <si>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</si>
  <si>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</si>
  <si>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</si>
  <si>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</si>
  <si>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</si>
  <si>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</si>
  <si>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</si>
  <si>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</si>
  <si>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</si>
  <si>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</si>
  <si>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</si>
  <si>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</si>
  <si>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</si>
  <si>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</si>
  <si>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</si>
  <si>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</si>
  <si>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</si>
  <si>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</si>
  <si>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</si>
  <si>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</si>
  <si>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</si>
  <si>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</si>
  <si>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</si>
  <si>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</si>
  <si>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</si>
  <si>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</si>
  <si>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</si>
  <si>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</si>
  <si>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</si>
  <si>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</si>
  <si>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</si>
  <si>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</si>
  <si>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</si>
  <si>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</si>
  <si>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</si>
  <si>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</si>
  <si>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</si>
  <si>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</si>
  <si>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うさかめ</t>
  </si>
  <si>
    <t>淳子</t>
  </si>
  <si>
    <t>登録メンバー</t>
  </si>
  <si>
    <t>盗難防止及び　アドバイス防止のための　措置</t>
  </si>
  <si>
    <t>ドームで試合の場合は</t>
  </si>
  <si>
    <t>試合に入る選手の方はABコートの間の長椅子に荷物を置き（貴重品を入れ）チェンジコート時は　この長椅子で</t>
  </si>
  <si>
    <t>休憩をとること、木のベンチに近づかないまた。試合が終わったら　荷物を持って　移動する。　</t>
  </si>
  <si>
    <t>試合中以外の方（応援、見学等）は、木のベンチに　座って　見るようにする。立って見ない。</t>
  </si>
  <si>
    <t>本部</t>
  </si>
  <si>
    <t>木のベンチ</t>
  </si>
  <si>
    <t>ドームA</t>
  </si>
  <si>
    <t>長椅子</t>
  </si>
  <si>
    <t>自動ドア</t>
  </si>
  <si>
    <t>スコアボード</t>
  </si>
  <si>
    <t>ドームB</t>
  </si>
  <si>
    <t>右（Right)が赤（Red)</t>
  </si>
  <si>
    <t>ドロー上の選手が左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</si>
  <si>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</si>
  <si>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</si>
  <si>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</si>
  <si>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</si>
  <si>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</si>
  <si>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</si>
  <si>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</si>
  <si>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</si>
  <si>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</si>
  <si>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</si>
  <si>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</si>
  <si>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</si>
  <si>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</si>
  <si>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</si>
  <si>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</si>
  <si>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</si>
  <si>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</si>
  <si>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</si>
  <si>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</si>
  <si>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</si>
  <si>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</si>
  <si>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</si>
  <si>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</si>
  <si>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</si>
  <si>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</si>
  <si>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</si>
  <si>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竹田</t>
  </si>
  <si>
    <t>圭佑</t>
  </si>
  <si>
    <t>豊</t>
  </si>
  <si>
    <t>山田</t>
  </si>
  <si>
    <t>智史</t>
  </si>
  <si>
    <t>山本</t>
  </si>
  <si>
    <t>昌紀</t>
  </si>
  <si>
    <t>古株</t>
  </si>
  <si>
    <t>田中</t>
  </si>
  <si>
    <t>有紀</t>
  </si>
  <si>
    <t>直子</t>
  </si>
  <si>
    <t>中村</t>
  </si>
  <si>
    <t>男</t>
  </si>
  <si>
    <t>ここに</t>
  </si>
  <si>
    <t>ここに</t>
  </si>
  <si>
    <t>池端</t>
  </si>
  <si>
    <t>誠治</t>
  </si>
  <si>
    <t>押谷</t>
  </si>
  <si>
    <t>繁樹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</si>
  <si>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</si>
  <si>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</si>
  <si>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</si>
  <si>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</si>
  <si>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</si>
  <si>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</si>
  <si>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</si>
  <si>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</si>
  <si>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</si>
  <si>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</si>
  <si>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</si>
  <si>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</si>
  <si>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</si>
  <si>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</si>
  <si>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</si>
  <si>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</si>
  <si>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</si>
  <si>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</si>
  <si>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</si>
  <si>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</si>
  <si>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</si>
  <si>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</si>
  <si>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</si>
  <si>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</si>
  <si>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</si>
  <si>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</si>
  <si>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</si>
  <si>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</si>
  <si>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</si>
  <si>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</si>
  <si>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</si>
  <si>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</si>
  <si>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</si>
  <si>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</si>
  <si>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</si>
  <si>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</si>
  <si>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</si>
  <si>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</si>
  <si>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</si>
  <si>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由美子</t>
  </si>
  <si>
    <t>美弥子</t>
  </si>
  <si>
    <t>吉岡</t>
  </si>
  <si>
    <t>京子</t>
  </si>
  <si>
    <t>福島</t>
  </si>
  <si>
    <t>麻公</t>
  </si>
  <si>
    <t>浜田</t>
  </si>
  <si>
    <t>男</t>
  </si>
  <si>
    <t>仁史</t>
  </si>
  <si>
    <t>佐藤</t>
  </si>
  <si>
    <t>直也</t>
  </si>
  <si>
    <t>①</t>
  </si>
  <si>
    <t>②</t>
  </si>
  <si>
    <t>③</t>
  </si>
  <si>
    <t>④</t>
  </si>
  <si>
    <t>⑤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</si>
  <si>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</si>
  <si>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</si>
  <si>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</si>
  <si>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</si>
  <si>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</si>
  <si>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</si>
  <si>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</si>
  <si>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</si>
  <si>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</si>
  <si>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</si>
  <si>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</si>
  <si>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</si>
  <si>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</si>
  <si>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浅田</t>
  </si>
  <si>
    <t>亜祐子</t>
  </si>
  <si>
    <t>女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</si>
  <si>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</si>
  <si>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</si>
  <si>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</si>
  <si>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</si>
  <si>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</si>
  <si>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</si>
  <si>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</si>
  <si>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</si>
  <si>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</si>
  <si>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</si>
  <si>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</si>
  <si>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</si>
  <si>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</si>
  <si>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</si>
  <si>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</si>
  <si>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</si>
  <si>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</si>
  <si>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</si>
  <si>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</si>
  <si>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高島市</t>
  </si>
  <si>
    <t>東近江市</t>
  </si>
  <si>
    <t>男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</si>
  <si>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</si>
  <si>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</si>
  <si>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</si>
  <si>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</si>
  <si>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</si>
  <si>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</si>
  <si>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</si>
  <si>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</si>
  <si>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</si>
  <si>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</si>
  <si>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</si>
  <si>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</si>
  <si>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</si>
  <si>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</si>
  <si>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</si>
  <si>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</si>
  <si>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</si>
  <si>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</si>
  <si>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</si>
  <si>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</si>
  <si>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</si>
  <si>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</si>
  <si>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</si>
  <si>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</si>
  <si>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</si>
  <si>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</si>
  <si>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</si>
  <si>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</si>
  <si>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</si>
  <si>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</si>
  <si>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</si>
  <si>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</si>
  <si>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</si>
  <si>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</si>
  <si>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</si>
  <si>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</si>
  <si>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</si>
  <si>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</si>
  <si>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</si>
  <si>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</si>
  <si>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</si>
  <si>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</si>
  <si>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</si>
  <si>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</si>
  <si>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</si>
  <si>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</si>
  <si>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</si>
  <si>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菜々</t>
  </si>
  <si>
    <t>植田</t>
  </si>
  <si>
    <t>早耶</t>
  </si>
  <si>
    <t>井ノ口</t>
  </si>
  <si>
    <t>幹也</t>
  </si>
  <si>
    <t>神山</t>
  </si>
  <si>
    <t>松村</t>
  </si>
  <si>
    <t>北川</t>
  </si>
  <si>
    <t>米原市</t>
  </si>
  <si>
    <t>平塚</t>
  </si>
  <si>
    <t>女</t>
  </si>
  <si>
    <t>西　</t>
  </si>
  <si>
    <t>佑人</t>
  </si>
  <si>
    <t>F02</t>
  </si>
  <si>
    <t>F03</t>
  </si>
  <si>
    <t>F04</t>
  </si>
  <si>
    <t>F05</t>
  </si>
  <si>
    <t>栄治</t>
  </si>
  <si>
    <t>F06</t>
  </si>
  <si>
    <t>油利</t>
  </si>
  <si>
    <t>犬上郡</t>
  </si>
  <si>
    <t>男</t>
  </si>
  <si>
    <t>男</t>
  </si>
  <si>
    <t>女</t>
  </si>
  <si>
    <t>女</t>
  </si>
  <si>
    <t>佳子</t>
  </si>
  <si>
    <t>将義</t>
  </si>
  <si>
    <t>雅幸</t>
  </si>
  <si>
    <t>明香</t>
  </si>
  <si>
    <t>松村明香</t>
  </si>
  <si>
    <t>略称</t>
  </si>
  <si>
    <t>正式名称</t>
  </si>
  <si>
    <t>金谷</t>
  </si>
  <si>
    <t>昌一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</si>
  <si>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</si>
  <si>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</si>
  <si>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</si>
  <si>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</si>
  <si>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</si>
  <si>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</si>
  <si>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</si>
  <si>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</si>
  <si>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</si>
  <si>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</si>
  <si>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</si>
  <si>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</si>
  <si>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</si>
  <si>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</si>
  <si>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</si>
  <si>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</si>
  <si>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</si>
  <si>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</si>
  <si>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</si>
  <si>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</si>
  <si>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赤木</t>
  </si>
  <si>
    <t>C51</t>
  </si>
  <si>
    <t>松島</t>
  </si>
  <si>
    <t>C53</t>
  </si>
  <si>
    <t>大鳥</t>
  </si>
  <si>
    <t>有希子</t>
  </si>
  <si>
    <t>C54</t>
  </si>
  <si>
    <t>霧島市</t>
  </si>
  <si>
    <t xml:space="preserve"> 享</t>
  </si>
  <si>
    <t>鍵弥</t>
  </si>
  <si>
    <t>初美</t>
  </si>
  <si>
    <t>鍵弥初美</t>
  </si>
  <si>
    <t>愛荘町</t>
  </si>
  <si>
    <t>代表 北村 健</t>
  </si>
  <si>
    <t>遠池</t>
  </si>
  <si>
    <t>建介</t>
  </si>
  <si>
    <t>美敬</t>
  </si>
  <si>
    <t>倉本</t>
  </si>
  <si>
    <t>亮太</t>
  </si>
  <si>
    <t>M48</t>
  </si>
  <si>
    <t>村田</t>
  </si>
  <si>
    <t>朋子</t>
  </si>
  <si>
    <t>好真</t>
  </si>
  <si>
    <t>佐々木</t>
  </si>
  <si>
    <t>金武</t>
  </si>
  <si>
    <t>岐阜県</t>
  </si>
  <si>
    <t>佐合</t>
  </si>
  <si>
    <t>K31</t>
  </si>
  <si>
    <t>八木　篤司</t>
  </si>
  <si>
    <t xml:space="preserve"> 望</t>
  </si>
  <si>
    <t xml:space="preserve">辻 </t>
  </si>
  <si>
    <t xml:space="preserve"> 聡</t>
  </si>
  <si>
    <t xml:space="preserve"> 都</t>
  </si>
  <si>
    <t xml:space="preserve">森 </t>
  </si>
  <si>
    <t>代表：牛尾　紳之介</t>
  </si>
  <si>
    <t>法人会員</t>
  </si>
  <si>
    <t>井澤　</t>
  </si>
  <si>
    <t>匡志</t>
  </si>
  <si>
    <t>C57</t>
  </si>
  <si>
    <t>井澤　匡志</t>
  </si>
  <si>
    <t>文彦</t>
  </si>
  <si>
    <t>C55</t>
  </si>
  <si>
    <t>石田文彦</t>
  </si>
  <si>
    <t xml:space="preserve"> 拓</t>
  </si>
  <si>
    <t>香芝市</t>
  </si>
  <si>
    <t>澤田</t>
  </si>
  <si>
    <t>啓一</t>
  </si>
  <si>
    <t>C56</t>
  </si>
  <si>
    <t>西岡</t>
  </si>
  <si>
    <t>庸介</t>
  </si>
  <si>
    <t>相楽郡</t>
  </si>
  <si>
    <t>吉岡　京子</t>
  </si>
  <si>
    <t>津田</t>
  </si>
  <si>
    <t>原樹</t>
  </si>
  <si>
    <t>大丸</t>
  </si>
  <si>
    <t>和輝</t>
  </si>
  <si>
    <t>脇野</t>
  </si>
  <si>
    <t>佳邦</t>
  </si>
  <si>
    <t>森本進太郎</t>
  </si>
  <si>
    <t>小路</t>
  </si>
  <si>
    <t>小路 貴</t>
  </si>
  <si>
    <t>伸子</t>
  </si>
  <si>
    <t>恵亮</t>
  </si>
  <si>
    <t>洋史</t>
  </si>
  <si>
    <t>兵庫県</t>
  </si>
  <si>
    <t>岩本</t>
  </si>
  <si>
    <t xml:space="preserve"> 龍</t>
  </si>
  <si>
    <t>岸本</t>
  </si>
  <si>
    <t>貴大</t>
  </si>
  <si>
    <t>松岡</t>
  </si>
  <si>
    <t xml:space="preserve"> 準</t>
  </si>
  <si>
    <t>京都府</t>
  </si>
  <si>
    <t>宮本</t>
  </si>
  <si>
    <t>悠佑</t>
  </si>
  <si>
    <t xml:space="preserve"> 卓</t>
  </si>
  <si>
    <t>吉野</t>
  </si>
  <si>
    <t>淳也</t>
  </si>
  <si>
    <t xml:space="preserve"> 恵</t>
  </si>
  <si>
    <t>山下</t>
  </si>
  <si>
    <t>莉紗</t>
  </si>
  <si>
    <t>梅森</t>
  </si>
  <si>
    <t>恵太</t>
  </si>
  <si>
    <t>中山</t>
  </si>
  <si>
    <t>幸典</t>
  </si>
  <si>
    <t>東近江市民</t>
  </si>
  <si>
    <t>東近江市民率</t>
  </si>
  <si>
    <t>健治</t>
  </si>
  <si>
    <t>川上</t>
  </si>
  <si>
    <t>政治</t>
  </si>
  <si>
    <t>K32</t>
  </si>
  <si>
    <t>宮村</t>
  </si>
  <si>
    <t>知宏</t>
  </si>
  <si>
    <t>K33</t>
  </si>
  <si>
    <t>小澤</t>
  </si>
  <si>
    <t>藤信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</si>
  <si>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</si>
  <si>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</si>
  <si>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</si>
  <si>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</si>
  <si>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</si>
  <si>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</si>
  <si>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</si>
  <si>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</si>
  <si>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</si>
  <si>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</si>
  <si>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ぼんズ</t>
  </si>
  <si>
    <t>ぼんズ</t>
  </si>
  <si>
    <t>ぼんズ</t>
  </si>
  <si>
    <t>ぼんズ</t>
  </si>
  <si>
    <t>Ｊｒ</t>
  </si>
  <si>
    <t>C44</t>
  </si>
  <si>
    <t>C49</t>
  </si>
  <si>
    <t>京セラ</t>
  </si>
  <si>
    <t>京セラ</t>
  </si>
  <si>
    <t>vwkt57422@nike.eonet.ne.jp</t>
  </si>
  <si>
    <t>フレンズ</t>
  </si>
  <si>
    <t>Jr</t>
  </si>
  <si>
    <t>F01</t>
  </si>
  <si>
    <t>フレンズ</t>
  </si>
  <si>
    <t>フレンズ</t>
  </si>
  <si>
    <t>フレンズ</t>
  </si>
  <si>
    <t>F10</t>
  </si>
  <si>
    <t>F11</t>
  </si>
  <si>
    <t>F15</t>
  </si>
  <si>
    <t>F17</t>
  </si>
  <si>
    <t>フレンズ</t>
  </si>
  <si>
    <t>男</t>
  </si>
  <si>
    <t>F18</t>
  </si>
  <si>
    <t>F22</t>
  </si>
  <si>
    <t>F23</t>
  </si>
  <si>
    <t>Jr</t>
  </si>
  <si>
    <t>フレンズ</t>
  </si>
  <si>
    <t>F29</t>
  </si>
  <si>
    <t>at2002take@yahoo.co.jp</t>
  </si>
  <si>
    <t>グリフィンズ</t>
  </si>
  <si>
    <t>グリフィンズ</t>
  </si>
  <si>
    <t>　落合　良弘</t>
  </si>
  <si>
    <t xml:space="preserve">chai828@nifty.com  </t>
  </si>
  <si>
    <t>アビック</t>
  </si>
  <si>
    <t>アビックＢＢ</t>
  </si>
  <si>
    <t>A01</t>
  </si>
  <si>
    <t>水野</t>
  </si>
  <si>
    <t>圭補</t>
  </si>
  <si>
    <t>A02</t>
  </si>
  <si>
    <t>重之</t>
  </si>
  <si>
    <t>A03</t>
  </si>
  <si>
    <t>乾</t>
  </si>
  <si>
    <t>勝彦</t>
  </si>
  <si>
    <t>A04</t>
  </si>
  <si>
    <t>政之</t>
  </si>
  <si>
    <t>A05</t>
  </si>
  <si>
    <t>亨</t>
  </si>
  <si>
    <t>A06</t>
  </si>
  <si>
    <t>谷崎</t>
  </si>
  <si>
    <t>真也</t>
  </si>
  <si>
    <t>甲賀市</t>
  </si>
  <si>
    <t>A07</t>
  </si>
  <si>
    <t>齋田</t>
  </si>
  <si>
    <t>至</t>
  </si>
  <si>
    <t>A08</t>
  </si>
  <si>
    <t>A09</t>
  </si>
  <si>
    <t>平居</t>
  </si>
  <si>
    <t>崇</t>
  </si>
  <si>
    <t>多賀町</t>
  </si>
  <si>
    <t>A10</t>
  </si>
  <si>
    <t>土居</t>
  </si>
  <si>
    <t>悟</t>
  </si>
  <si>
    <t>A11</t>
  </si>
  <si>
    <t>ナオキ</t>
  </si>
  <si>
    <t>A12</t>
  </si>
  <si>
    <t>西山</t>
  </si>
  <si>
    <t>抄千代</t>
  </si>
  <si>
    <t>A13</t>
  </si>
  <si>
    <t>三原</t>
  </si>
  <si>
    <t>啓子</t>
  </si>
  <si>
    <t>A14</t>
  </si>
  <si>
    <t>落合</t>
  </si>
  <si>
    <t>良弘</t>
  </si>
  <si>
    <t>me-me-yagirock@siren.ocn.ne.jp</t>
  </si>
  <si>
    <t>B01</t>
  </si>
  <si>
    <t>B02</t>
  </si>
  <si>
    <t>ぼんズ</t>
  </si>
  <si>
    <t>Ｊｒ</t>
  </si>
  <si>
    <t>京セラTC</t>
  </si>
  <si>
    <t>京セラTC</t>
  </si>
  <si>
    <t>橘　</t>
  </si>
  <si>
    <t>京セラ</t>
  </si>
  <si>
    <t>C52</t>
  </si>
  <si>
    <t>女</t>
  </si>
  <si>
    <t>D</t>
  </si>
  <si>
    <t>E</t>
  </si>
  <si>
    <t>東近江市民</t>
  </si>
  <si>
    <t>東近江市民率</t>
  </si>
  <si>
    <t>フレンズ</t>
  </si>
  <si>
    <t>フレンズ</t>
  </si>
  <si>
    <t>F01</t>
  </si>
  <si>
    <t>男</t>
  </si>
  <si>
    <t>F13</t>
  </si>
  <si>
    <t>フレンズ</t>
  </si>
  <si>
    <t>F19</t>
  </si>
  <si>
    <t>F20</t>
  </si>
  <si>
    <t>F21</t>
  </si>
  <si>
    <t>F24</t>
  </si>
  <si>
    <t>ひとみ</t>
  </si>
  <si>
    <t>F30</t>
  </si>
  <si>
    <t>Ｆ31</t>
  </si>
  <si>
    <t>千秋</t>
  </si>
  <si>
    <t>西村千秋</t>
  </si>
  <si>
    <t>フレンズ</t>
  </si>
  <si>
    <t>b01</t>
  </si>
  <si>
    <t>f22</t>
  </si>
  <si>
    <t>k45</t>
  </si>
  <si>
    <t>g22</t>
  </si>
  <si>
    <t>k35</t>
  </si>
  <si>
    <t>g14</t>
  </si>
  <si>
    <t>内田</t>
  </si>
  <si>
    <t>k03</t>
  </si>
  <si>
    <t>k18</t>
  </si>
  <si>
    <t>f14</t>
  </si>
  <si>
    <t>k19</t>
  </si>
  <si>
    <t>b12</t>
  </si>
  <si>
    <t>b08</t>
  </si>
  <si>
    <t>g32</t>
  </si>
  <si>
    <t>b14</t>
  </si>
  <si>
    <t>b17</t>
  </si>
  <si>
    <t>b09</t>
  </si>
  <si>
    <t>四元</t>
  </si>
  <si>
    <t>b19</t>
  </si>
  <si>
    <t>u05</t>
  </si>
  <si>
    <t>m10</t>
  </si>
  <si>
    <t>f30</t>
  </si>
  <si>
    <t>福岡</t>
  </si>
  <si>
    <t>f25</t>
  </si>
  <si>
    <t>柴田</t>
  </si>
  <si>
    <t>c47</t>
  </si>
  <si>
    <t>k29</t>
  </si>
  <si>
    <t>g65</t>
  </si>
  <si>
    <t>f19</t>
  </si>
  <si>
    <t>コンソレーション</t>
  </si>
  <si>
    <t>g53</t>
  </si>
  <si>
    <t>k34</t>
  </si>
  <si>
    <t>g06</t>
  </si>
  <si>
    <t>m20</t>
  </si>
  <si>
    <t>m41</t>
  </si>
  <si>
    <t>m03</t>
  </si>
  <si>
    <t>t14</t>
  </si>
  <si>
    <t>t04</t>
  </si>
  <si>
    <t>渡邉</t>
  </si>
  <si>
    <t>杉原</t>
  </si>
  <si>
    <t>y07</t>
  </si>
  <si>
    <t>y03</t>
  </si>
  <si>
    <t>y06</t>
  </si>
  <si>
    <t>b02</t>
  </si>
  <si>
    <t>u39</t>
  </si>
  <si>
    <t>丸山</t>
  </si>
  <si>
    <t>一般Jr</t>
  </si>
  <si>
    <t>田内</t>
  </si>
  <si>
    <t>g56</t>
  </si>
  <si>
    <t>t18</t>
  </si>
  <si>
    <t>m43</t>
  </si>
  <si>
    <t>g47</t>
  </si>
  <si>
    <t>t10</t>
  </si>
  <si>
    <t>y01</t>
  </si>
  <si>
    <t>k31</t>
  </si>
  <si>
    <t>g51</t>
  </si>
  <si>
    <t>ここに</t>
  </si>
  <si>
    <t>t09</t>
  </si>
  <si>
    <t>y08</t>
  </si>
  <si>
    <t>k20</t>
  </si>
  <si>
    <t>m24</t>
  </si>
  <si>
    <t>t07</t>
  </si>
  <si>
    <t>ここに</t>
  </si>
  <si>
    <t>g45</t>
  </si>
  <si>
    <t>ここに</t>
  </si>
  <si>
    <t>t17</t>
  </si>
  <si>
    <t>ここに</t>
  </si>
  <si>
    <t>第9回バレンタインMIX　1セットマッチ（6-6タイブレーク）ノーアド方式</t>
  </si>
  <si>
    <t>2017.2.12</t>
  </si>
  <si>
    <t>リーグ6・4位</t>
  </si>
  <si>
    <t>②</t>
  </si>
  <si>
    <t>③</t>
  </si>
  <si>
    <t>①</t>
  </si>
  <si>
    <t>②</t>
  </si>
  <si>
    <t>③</t>
  </si>
  <si>
    <t>④</t>
  </si>
  <si>
    <t>⑤</t>
  </si>
  <si>
    <t>⑥</t>
  </si>
  <si>
    <t>⑥</t>
  </si>
  <si>
    <t>日比・川上（一般・村田八日市）</t>
  </si>
  <si>
    <t>坪田・石原　(Ｋテニス)</t>
  </si>
  <si>
    <t>川並・田中　（Ｋテニス）</t>
  </si>
  <si>
    <t>09.2.15</t>
  </si>
  <si>
    <t>宮村・宮村　（Ｋテニス）</t>
  </si>
  <si>
    <t>松本・沼田　（一般）</t>
  </si>
  <si>
    <t>村地・梶木　（Kテニス）</t>
  </si>
  <si>
    <t>岸田・溝川　（ピース・プラチナ）</t>
  </si>
  <si>
    <t>奥・太田　（Dragon・木曜会）</t>
  </si>
  <si>
    <t>酒井・西村　（ＪＡＣＫ）</t>
  </si>
  <si>
    <t>美濃岡・家倉（一般）</t>
  </si>
  <si>
    <t>川並・田中　(Ｋテニス)</t>
  </si>
  <si>
    <t>今井・小菅　（ぼんズ）</t>
  </si>
  <si>
    <t>10.2.19</t>
  </si>
  <si>
    <t>北野・寺岡　（Pin　TC）</t>
  </si>
  <si>
    <t>堀部・羽田　（ﾌﾟﾗﾁﾅ）</t>
  </si>
  <si>
    <t>川島・土肥　（Dragon）</t>
  </si>
  <si>
    <t>山口・吉岡　（八日市南高）</t>
  </si>
  <si>
    <t>山口・森永　（ぼんズ・一般）</t>
  </si>
  <si>
    <t>西村・西村　（八日市南高）</t>
  </si>
  <si>
    <t>11.2.13</t>
  </si>
  <si>
    <t>松田・松田（京セラ・あげぽん）</t>
  </si>
  <si>
    <t>バレンタインミックス歴代入賞者</t>
  </si>
  <si>
    <t>優勝</t>
  </si>
  <si>
    <t>準優勝</t>
  </si>
  <si>
    <t>3位</t>
  </si>
  <si>
    <t>第1回</t>
  </si>
  <si>
    <t>Ａ級</t>
  </si>
  <si>
    <t>Ｂ級</t>
  </si>
  <si>
    <t>Ｃ級</t>
  </si>
  <si>
    <t>第2回</t>
  </si>
  <si>
    <t>第3回</t>
  </si>
  <si>
    <t>山口・石原　(Ｋテニス)</t>
  </si>
  <si>
    <t>岡本・三崎（グリフィン）</t>
  </si>
  <si>
    <t>鈴木・土肥（ドラゴンワン）</t>
  </si>
  <si>
    <t>南・岩崎（フリー）</t>
  </si>
  <si>
    <t>北村・吉水（グリフィン）</t>
  </si>
  <si>
    <t>木下・宇野（ドラゴンワン）</t>
  </si>
  <si>
    <t>青山・北村（八日市南高）</t>
  </si>
  <si>
    <t>第４回</t>
  </si>
  <si>
    <t>山口直・中田　(Ｋテニス・一般)</t>
  </si>
  <si>
    <t>永里・伊東（Kテニス）</t>
  </si>
  <si>
    <t>山口真・浅田（Kテニス）</t>
  </si>
  <si>
    <t>12.2.12</t>
  </si>
  <si>
    <t>土田・広部（一般・ぼんズ）</t>
  </si>
  <si>
    <t>峯尾・奥田（一般・ドラゴンワン）</t>
  </si>
  <si>
    <t>高田・森谷（プラチナ）</t>
  </si>
  <si>
    <t>池上・人見（うさかめ）</t>
  </si>
  <si>
    <t>第５回</t>
  </si>
  <si>
    <t>川並・永松（Kテニスカレッジ）</t>
  </si>
  <si>
    <t>上原・上原（一般Jr）</t>
  </si>
  <si>
    <t>永里・伊東（Kテニスカレッジ）</t>
  </si>
  <si>
    <t>13.3.3</t>
  </si>
  <si>
    <t>重田・中田（一般）</t>
  </si>
  <si>
    <t>高瀬・高村（個人登録・一般）</t>
  </si>
  <si>
    <t>-</t>
  </si>
  <si>
    <t>第6回</t>
  </si>
  <si>
    <t>石橋和基・山本あづさ（グリフィンズ）</t>
  </si>
  <si>
    <t>北村健・永松貴子（グリフィン・Kテニス）</t>
  </si>
  <si>
    <t>岡本大樹・仙波敬子（グリフィン・一般）</t>
  </si>
  <si>
    <t>14.2.23</t>
  </si>
  <si>
    <t>坂口直也・新貝真優（サプライズ）</t>
  </si>
  <si>
    <t>高瀬眞志・植垣貴美子（うさかめ）</t>
  </si>
  <si>
    <t>第7回</t>
  </si>
  <si>
    <t>金武・佐合（一般）</t>
  </si>
  <si>
    <t>永里祐次・永松貴子（Kテニス）</t>
  </si>
  <si>
    <t>北村健・山本あづさ（グリフィンズ）</t>
  </si>
  <si>
    <t>15.2.15</t>
  </si>
  <si>
    <t>藤井・岩崎（グリフィンズ・一般）</t>
  </si>
  <si>
    <t>遠崎・三崎（村田ＴＣ・グリフィンズ）</t>
  </si>
  <si>
    <t>木澤・木澤（一般）</t>
  </si>
  <si>
    <t>第８回</t>
  </si>
  <si>
    <t>南・池尻（Kテニスカレッジ）</t>
  </si>
  <si>
    <t>吉野・稲継（グリフィンズ・一般）</t>
  </si>
  <si>
    <t>16.2.14</t>
  </si>
  <si>
    <t>福岡・岩崎（一般・グリフィンズ）</t>
  </si>
  <si>
    <t>辰巳・川上（村田・Kテニス）</t>
  </si>
  <si>
    <t>親子</t>
  </si>
  <si>
    <t>木澤・木澤（一般・一般Jr）</t>
  </si>
  <si>
    <t>山脇・山脇（一般・一般Jr）</t>
  </si>
  <si>
    <t>第9回</t>
  </si>
  <si>
    <t>16.2.12</t>
  </si>
  <si>
    <t>遠崎</t>
  </si>
  <si>
    <t>2017.2.19</t>
  </si>
  <si>
    <r>
      <t>↓ひばり公園 ドームＡ・Ｂ　8:45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</si>
  <si>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ドームA・Ｂ　</t>
    </r>
    <r>
      <rPr>
        <b/>
        <sz val="11"/>
        <color indexed="10"/>
        <rFont val="ＭＳ Ｐゴシック"/>
        <family val="3"/>
      </rPr>
      <t>11：15</t>
    </r>
    <r>
      <rPr>
        <b/>
        <sz val="10"/>
        <color indexed="8"/>
        <rFont val="ＭＳ Ｐゴシック"/>
        <family val="3"/>
      </rPr>
      <t>までに本部に出席を届ける</t>
    </r>
  </si>
  <si>
    <r>
      <t>第9回バレンタインMIX　1セットマッチ（</t>
    </r>
    <r>
      <rPr>
        <b/>
        <sz val="14"/>
        <color indexed="10"/>
        <rFont val="ＭＳ Ｐゴシック"/>
        <family val="3"/>
      </rPr>
      <t>5-5</t>
    </r>
    <r>
      <rPr>
        <b/>
        <sz val="14"/>
        <color indexed="8"/>
        <rFont val="ＭＳ Ｐゴシック"/>
        <family val="3"/>
      </rPr>
      <t>タイブレーク）ノーアド方式</t>
    </r>
  </si>
  <si>
    <t>S</t>
  </si>
  <si>
    <t>W</t>
  </si>
  <si>
    <t>⑥</t>
  </si>
  <si>
    <t>⑥</t>
  </si>
  <si>
    <t>⑥</t>
  </si>
  <si>
    <t>b22</t>
  </si>
  <si>
    <t>N</t>
  </si>
  <si>
    <t>S</t>
  </si>
  <si>
    <t>Bye</t>
  </si>
  <si>
    <t>積雪のため延期</t>
  </si>
  <si>
    <t>参加者なし</t>
  </si>
  <si>
    <t>⑥</t>
  </si>
  <si>
    <t>b26</t>
  </si>
  <si>
    <t>k47</t>
  </si>
  <si>
    <t>６－２</t>
  </si>
  <si>
    <t>６－１</t>
  </si>
  <si>
    <t>６－０</t>
  </si>
  <si>
    <t>６－３</t>
  </si>
  <si>
    <t>川並・田中</t>
  </si>
  <si>
    <t>５－２</t>
  </si>
  <si>
    <t>５－０</t>
  </si>
  <si>
    <t>５－３</t>
  </si>
  <si>
    <t>6-0  6-3</t>
  </si>
  <si>
    <t>遠池・池尻</t>
  </si>
  <si>
    <t>6-0</t>
  </si>
  <si>
    <t>5-2 5-2</t>
  </si>
  <si>
    <t>順位決定方法　①完了試合数　②勝数　③直接対決　④取得ゲーム率（取得ゲーム数/全ゲーム数）</t>
  </si>
  <si>
    <t>A級入賞者</t>
  </si>
  <si>
    <t>４－５</t>
  </si>
  <si>
    <t>６－５</t>
  </si>
  <si>
    <t>A級　優勝　津田・金武（一般・グリフィンズ）　準優勝　内田・吉野（Kテニス）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</si>
</sst>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&quot;\0022#,##0;[Red]&quot;\00\2\2\-#,##0"/>
    <numFmt numFmtId="192" formatCode="0&quot;円&quot;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sz val="12"/>
      <name val="HGSnpp޼UB"/>
      <family val="3"/>
    </font>
    <font>
      <b/>
      <sz val="12"/>
      <name val="HGSnpp޼UB"/>
      <family val="3"/>
    </font>
    <font>
      <b/>
      <sz val="1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Dashed"/>
    </border>
    <border>
      <left/>
      <right style="thin"/>
      <top/>
      <bottom style="mediumDashed"/>
    </border>
    <border>
      <left/>
      <right style="medium"/>
      <top/>
      <bottom style="mediumDashed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>
        <color indexed="8"/>
      </right>
      <top style="mediumDashed"/>
      <bottom style="thin"/>
    </border>
    <border>
      <left style="thin">
        <color indexed="8"/>
      </left>
      <right style="medium"/>
      <top style="mediumDashed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191" fontId="1" fillId="0" borderId="0" applyFont="0" applyFill="0" applyBorder="0" applyAlignment="0" applyProtection="0"/>
    <xf numFmtId="6" fontId="0" fillId="0" borderId="0" applyProtection="0">
      <alignment vertical="center"/>
    </xf>
    <xf numFmtId="0" fontId="28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0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 applyProtection="1">
      <alignment vertical="center" shrinkToFit="1"/>
      <protection locked="0"/>
    </xf>
    <xf numFmtId="0" fontId="0" fillId="0" borderId="27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29" xfId="0" applyNumberFormat="1" applyFont="1" applyFill="1" applyBorder="1" applyAlignment="1">
      <alignment vertical="center" shrinkToFit="1"/>
    </xf>
    <xf numFmtId="2" fontId="4" fillId="0" borderId="29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17" xfId="0" applyNumberFormat="1" applyFont="1" applyFill="1" applyBorder="1" applyAlignment="1" applyProtection="1">
      <alignment vertical="center" shrinkToFit="1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182" fontId="3" fillId="0" borderId="16" xfId="0" applyNumberFormat="1" applyFont="1" applyFill="1" applyBorder="1" applyAlignment="1">
      <alignment horizontal="left" vertical="center" shrinkToFit="1"/>
    </xf>
    <xf numFmtId="179" fontId="4" fillId="0" borderId="16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19" borderId="34" xfId="0" applyNumberFormat="1" applyFont="1" applyFill="1" applyBorder="1" applyAlignment="1">
      <alignment vertical="center"/>
    </xf>
    <xf numFmtId="0" fontId="0" fillId="19" borderId="10" xfId="0" applyNumberFormat="1" applyFont="1" applyFill="1" applyBorder="1" applyAlignment="1">
      <alignment vertical="center"/>
    </xf>
    <xf numFmtId="0" fontId="0" fillId="19" borderId="35" xfId="0" applyNumberFormat="1" applyFont="1" applyFill="1" applyBorder="1" applyAlignment="1">
      <alignment vertical="center"/>
    </xf>
    <xf numFmtId="0" fontId="0" fillId="19" borderId="36" xfId="0" applyNumberFormat="1" applyFont="1" applyFill="1" applyBorder="1" applyAlignment="1">
      <alignment vertical="center"/>
    </xf>
    <xf numFmtId="0" fontId="0" fillId="19" borderId="23" xfId="0" applyNumberFormat="1" applyFont="1" applyFill="1" applyBorder="1" applyAlignment="1">
      <alignment vertical="center"/>
    </xf>
    <xf numFmtId="0" fontId="0" fillId="19" borderId="37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vertical="center"/>
    </xf>
    <xf numFmtId="0" fontId="0" fillId="17" borderId="14" xfId="0" applyNumberFormat="1" applyFont="1" applyFill="1" applyBorder="1" applyAlignment="1">
      <alignment vertical="center"/>
    </xf>
    <xf numFmtId="0" fontId="0" fillId="17" borderId="16" xfId="0" applyNumberFormat="1" applyFont="1" applyFill="1" applyBorder="1" applyAlignment="1">
      <alignment vertical="center"/>
    </xf>
    <xf numFmtId="0" fontId="0" fillId="17" borderId="36" xfId="0" applyNumberFormat="1" applyFont="1" applyFill="1" applyBorder="1" applyAlignment="1">
      <alignment vertical="center"/>
    </xf>
    <xf numFmtId="0" fontId="0" fillId="17" borderId="37" xfId="0" applyNumberFormat="1" applyFont="1" applyFill="1" applyBorder="1" applyAlignment="1">
      <alignment vertical="center"/>
    </xf>
    <xf numFmtId="0" fontId="0" fillId="25" borderId="34" xfId="0" applyNumberFormat="1" applyFont="1" applyFill="1" applyBorder="1" applyAlignment="1">
      <alignment vertical="center"/>
    </xf>
    <xf numFmtId="0" fontId="0" fillId="25" borderId="35" xfId="0" applyNumberFormat="1" applyFont="1" applyFill="1" applyBorder="1" applyAlignment="1">
      <alignment vertical="center"/>
    </xf>
    <xf numFmtId="0" fontId="0" fillId="25" borderId="14" xfId="0" applyNumberFormat="1" applyFont="1" applyFill="1" applyBorder="1" applyAlignment="1">
      <alignment vertical="center"/>
    </xf>
    <xf numFmtId="0" fontId="0" fillId="25" borderId="16" xfId="0" applyNumberFormat="1" applyFont="1" applyFill="1" applyBorder="1" applyAlignment="1">
      <alignment vertical="center"/>
    </xf>
    <xf numFmtId="0" fontId="0" fillId="0" borderId="0" xfId="79" applyNumberFormat="1" applyFont="1" applyFill="1" applyBorder="1" applyAlignment="1">
      <alignment/>
    </xf>
    <xf numFmtId="0" fontId="11" fillId="0" borderId="0" xfId="87" applyNumberFormat="1" applyFont="1" applyFill="1" applyBorder="1" applyAlignment="1">
      <alignment vertical="center"/>
    </xf>
    <xf numFmtId="0" fontId="4" fillId="0" borderId="0" xfId="87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9" applyNumberFormat="1" applyFont="1" applyFill="1" applyBorder="1" applyAlignment="1">
      <alignment vertical="center"/>
    </xf>
    <xf numFmtId="0" fontId="4" fillId="0" borderId="0" xfId="87" applyNumberFormat="1" applyFont="1" applyFill="1" applyBorder="1" applyAlignment="1">
      <alignment horizontal="left" vertical="center"/>
    </xf>
    <xf numFmtId="0" fontId="7" fillId="0" borderId="0" xfId="79" applyNumberFormat="1" applyFont="1" applyFill="1" applyBorder="1" applyAlignment="1">
      <alignment vertical="center"/>
    </xf>
    <xf numFmtId="0" fontId="7" fillId="0" borderId="0" xfId="87" applyNumberFormat="1" applyFont="1" applyFill="1" applyBorder="1" applyAlignment="1">
      <alignment vertical="center"/>
    </xf>
    <xf numFmtId="0" fontId="7" fillId="0" borderId="0" xfId="87" applyNumberFormat="1" applyFont="1" applyFill="1" applyBorder="1" applyAlignment="1">
      <alignment horizontal="left" vertical="center"/>
    </xf>
    <xf numFmtId="0" fontId="11" fillId="0" borderId="0" xfId="87" applyNumberFormat="1" applyFont="1" applyFill="1" applyAlignment="1">
      <alignment vertical="center"/>
    </xf>
    <xf numFmtId="0" fontId="9" fillId="0" borderId="0" xfId="87" applyNumberFormat="1" applyFont="1" applyFill="1" applyBorder="1" applyAlignment="1">
      <alignment vertical="center"/>
    </xf>
    <xf numFmtId="0" fontId="11" fillId="0" borderId="0" xfId="89" applyNumberFormat="1" applyFont="1" applyFill="1" applyBorder="1" applyAlignment="1">
      <alignment/>
    </xf>
    <xf numFmtId="0" fontId="11" fillId="0" borderId="0" xfId="87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9" applyNumberFormat="1" applyFont="1" applyFill="1" applyBorder="1" applyAlignment="1">
      <alignment horizontal="right" vertical="center"/>
    </xf>
    <xf numFmtId="0" fontId="4" fillId="0" borderId="0" xfId="87" applyNumberFormat="1" applyFont="1" applyFill="1" applyBorder="1" applyAlignment="1">
      <alignment horizontal="right" vertical="center"/>
    </xf>
    <xf numFmtId="0" fontId="9" fillId="0" borderId="0" xfId="87" applyNumberFormat="1" applyFont="1" applyFill="1" applyBorder="1" applyAlignment="1">
      <alignment horizontal="right" vertical="center"/>
    </xf>
    <xf numFmtId="0" fontId="11" fillId="0" borderId="0" xfId="86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11" fillId="0" borderId="0" xfId="76" applyFont="1" applyBorder="1" applyAlignment="1">
      <alignment horizontal="center" vertical="center"/>
    </xf>
    <xf numFmtId="0" fontId="4" fillId="0" borderId="0" xfId="76" applyFont="1" applyFill="1" applyBorder="1" applyAlignment="1">
      <alignment horizontal="left" vertical="center"/>
    </xf>
    <xf numFmtId="0" fontId="4" fillId="0" borderId="0" xfId="76" applyFont="1" applyBorder="1" applyAlignment="1">
      <alignment horizontal="left" vertical="center"/>
    </xf>
    <xf numFmtId="0" fontId="2" fillId="0" borderId="0" xfId="80" applyFont="1" applyBorder="1" applyAlignment="1">
      <alignment horizontal="center" vertical="center"/>
      <protection/>
    </xf>
    <xf numFmtId="0" fontId="2" fillId="0" borderId="0" xfId="80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left" vertical="center"/>
    </xf>
    <xf numFmtId="0" fontId="4" fillId="0" borderId="0" xfId="80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76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76" applyFont="1" applyFill="1" applyBorder="1">
      <alignment vertical="center"/>
    </xf>
    <xf numFmtId="0" fontId="7" fillId="0" borderId="0" xfId="76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80" applyNumberFormat="1" applyFont="1" applyFill="1" applyBorder="1" applyAlignment="1">
      <alignment horizontal="left"/>
      <protection/>
    </xf>
    <xf numFmtId="187" fontId="11" fillId="0" borderId="0" xfId="87" applyNumberFormat="1" applyFont="1" applyFill="1" applyBorder="1" applyAlignment="1">
      <alignment vertical="center"/>
    </xf>
    <xf numFmtId="10" fontId="11" fillId="0" borderId="0" xfId="87" applyNumberFormat="1" applyFont="1" applyFill="1" applyBorder="1" applyAlignment="1">
      <alignment vertical="center"/>
    </xf>
    <xf numFmtId="0" fontId="7" fillId="0" borderId="0" xfId="76" applyFont="1" applyFill="1" applyBorder="1">
      <alignment vertical="center"/>
    </xf>
    <xf numFmtId="0" fontId="11" fillId="0" borderId="0" xfId="86" applyFont="1" applyBorder="1">
      <alignment vertical="center"/>
    </xf>
    <xf numFmtId="0" fontId="7" fillId="0" borderId="0" xfId="80" applyNumberFormat="1" applyFont="1" applyFill="1" applyBorder="1" applyAlignment="1">
      <alignment horizontal="left"/>
      <protection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9" applyNumberFormat="1" applyFont="1" applyFill="1" applyBorder="1" applyAlignment="1">
      <alignment/>
    </xf>
    <xf numFmtId="0" fontId="4" fillId="0" borderId="0" xfId="79" applyNumberFormat="1" applyFont="1" applyFill="1" applyBorder="1" applyAlignment="1">
      <alignment/>
    </xf>
    <xf numFmtId="0" fontId="11" fillId="0" borderId="0" xfId="79" applyNumberFormat="1" applyFont="1" applyFill="1" applyBorder="1" applyAlignment="1">
      <alignment vertical="center"/>
    </xf>
    <xf numFmtId="0" fontId="11" fillId="0" borderId="0" xfId="76" applyFont="1" applyFill="1" applyBorder="1" applyAlignment="1">
      <alignment horizontal="left" vertical="center"/>
    </xf>
    <xf numFmtId="0" fontId="11" fillId="0" borderId="0" xfId="76" applyFont="1" applyFill="1" applyBorder="1" applyAlignment="1">
      <alignment horizontal="center" vertical="center"/>
    </xf>
    <xf numFmtId="0" fontId="4" fillId="0" borderId="0" xfId="82" applyFont="1">
      <alignment vertical="center"/>
      <protection/>
    </xf>
    <xf numFmtId="0" fontId="4" fillId="0" borderId="0" xfId="82" applyNumberFormat="1" applyFont="1" applyFill="1" applyBorder="1" applyAlignment="1">
      <alignment/>
      <protection/>
    </xf>
    <xf numFmtId="0" fontId="4" fillId="0" borderId="0" xfId="87" applyNumberFormat="1" applyFont="1" applyFill="1" applyBorder="1" applyAlignment="1">
      <alignment horizontal="center" vertical="center"/>
    </xf>
    <xf numFmtId="0" fontId="4" fillId="0" borderId="0" xfId="87" applyNumberFormat="1" applyFont="1" applyFill="1" applyBorder="1" applyAlignment="1">
      <alignment horizontal="left" vertical="center" shrinkToFit="1"/>
    </xf>
    <xf numFmtId="0" fontId="7" fillId="0" borderId="0" xfId="87" applyNumberFormat="1" applyFont="1" applyFill="1" applyBorder="1" applyAlignment="1">
      <alignment horizontal="left" vertical="center" shrinkToFit="1"/>
    </xf>
    <xf numFmtId="0" fontId="11" fillId="0" borderId="0" xfId="87" applyNumberFormat="1" applyFont="1" applyFill="1" applyBorder="1" applyAlignment="1">
      <alignment horizontal="left" vertical="center" shrinkToFit="1"/>
    </xf>
    <xf numFmtId="0" fontId="11" fillId="0" borderId="0" xfId="90" applyFont="1" applyFill="1" applyBorder="1">
      <alignment vertical="center"/>
      <protection/>
    </xf>
    <xf numFmtId="0" fontId="11" fillId="0" borderId="0" xfId="90" applyFont="1" applyBorder="1">
      <alignment vertical="center"/>
      <protection/>
    </xf>
    <xf numFmtId="0" fontId="3" fillId="0" borderId="0" xfId="87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0" borderId="0" xfId="87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9" applyNumberFormat="1" applyFont="1" applyFill="1" applyBorder="1" applyAlignment="1">
      <alignment/>
    </xf>
    <xf numFmtId="188" fontId="4" fillId="0" borderId="0" xfId="87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82" applyFont="1" applyAlignment="1">
      <alignment horizontal="center" vertical="center"/>
      <protection/>
    </xf>
    <xf numFmtId="0" fontId="4" fillId="0" borderId="0" xfId="84" applyNumberFormat="1" applyFont="1" applyFill="1" applyBorder="1" applyAlignment="1">
      <alignment vertical="center"/>
      <protection/>
    </xf>
    <xf numFmtId="0" fontId="4" fillId="0" borderId="0" xfId="84" applyFont="1" applyFill="1" applyBorder="1">
      <alignment vertical="center"/>
      <protection/>
    </xf>
    <xf numFmtId="0" fontId="4" fillId="0" borderId="0" xfId="84" applyFont="1">
      <alignment vertical="center"/>
      <protection/>
    </xf>
    <xf numFmtId="0" fontId="2" fillId="0" borderId="0" xfId="87" applyNumberFormat="1" applyFont="1" applyFill="1" applyBorder="1" applyAlignment="1">
      <alignment horizontal="center" vertical="center"/>
    </xf>
    <xf numFmtId="0" fontId="13" fillId="0" borderId="0" xfId="67" applyNumberFormat="1" applyFont="1" applyFill="1" applyBorder="1" applyAlignment="1">
      <alignment horizontal="left"/>
      <protection/>
    </xf>
    <xf numFmtId="0" fontId="7" fillId="0" borderId="0" xfId="67" applyNumberFormat="1" applyFont="1" applyFill="1" applyBorder="1" applyAlignment="1">
      <alignment horizontal="left"/>
      <protection/>
    </xf>
    <xf numFmtId="0" fontId="4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left"/>
      <protection/>
    </xf>
    <xf numFmtId="0" fontId="4" fillId="0" borderId="0" xfId="91" applyFont="1">
      <alignment vertical="center"/>
      <protection/>
    </xf>
    <xf numFmtId="0" fontId="34" fillId="0" borderId="0" xfId="0" applyFont="1" applyAlignment="1">
      <alignment vertical="center"/>
    </xf>
    <xf numFmtId="0" fontId="30" fillId="0" borderId="0" xfId="46" applyFont="1" applyAlignment="1">
      <alignment vertical="center"/>
    </xf>
    <xf numFmtId="0" fontId="33" fillId="0" borderId="0" xfId="8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82" applyNumberFormat="1" applyFont="1" applyFill="1" applyBorder="1" applyAlignme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87" applyNumberFormat="1" applyFont="1" applyFill="1" applyBorder="1" applyAlignment="1">
      <alignment horizontal="center" vertical="center"/>
    </xf>
    <xf numFmtId="10" fontId="11" fillId="0" borderId="0" xfId="87" applyNumberFormat="1" applyFont="1" applyFill="1" applyBorder="1" applyAlignment="1">
      <alignment horizontal="center" vertical="center"/>
    </xf>
    <xf numFmtId="0" fontId="9" fillId="0" borderId="0" xfId="87" applyNumberFormat="1" applyFont="1" applyFill="1" applyBorder="1" applyAlignment="1">
      <alignment horizontal="left" vertical="center"/>
    </xf>
    <xf numFmtId="0" fontId="11" fillId="0" borderId="0" xfId="87" applyNumberFormat="1" applyFont="1" applyFill="1" applyBorder="1" applyAlignment="1">
      <alignment horizontal="left" vertical="center"/>
    </xf>
    <xf numFmtId="0" fontId="11" fillId="0" borderId="0" xfId="79" applyNumberFormat="1" applyFont="1" applyFill="1" applyBorder="1" applyAlignment="1">
      <alignment/>
    </xf>
    <xf numFmtId="0" fontId="0" fillId="0" borderId="0" xfId="79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86" applyFont="1" applyFill="1" applyBorder="1">
      <alignment vertical="center"/>
    </xf>
    <xf numFmtId="0" fontId="11" fillId="0" borderId="0" xfId="33" applyFont="1" applyBorder="1">
      <alignment vertical="center"/>
    </xf>
    <xf numFmtId="0" fontId="11" fillId="0" borderId="0" xfId="86" applyFont="1" applyBorder="1">
      <alignment vertical="center"/>
    </xf>
    <xf numFmtId="0" fontId="7" fillId="0" borderId="0" xfId="86" applyFont="1" applyFill="1" applyBorder="1">
      <alignment vertical="center"/>
    </xf>
    <xf numFmtId="0" fontId="7" fillId="0" borderId="0" xfId="33" applyFont="1" applyBorder="1">
      <alignment vertical="center"/>
    </xf>
    <xf numFmtId="0" fontId="14" fillId="0" borderId="0" xfId="88" applyFont="1" applyBorder="1">
      <alignment/>
    </xf>
    <xf numFmtId="0" fontId="11" fillId="0" borderId="0" xfId="88" applyFont="1" applyBorder="1">
      <alignment/>
    </xf>
    <xf numFmtId="0" fontId="4" fillId="0" borderId="0" xfId="86" applyFont="1" applyBorder="1">
      <alignment vertical="center"/>
    </xf>
    <xf numFmtId="0" fontId="7" fillId="0" borderId="0" xfId="33" applyFont="1" applyBorder="1">
      <alignment vertical="center"/>
    </xf>
    <xf numFmtId="0" fontId="7" fillId="0" borderId="0" xfId="86" applyFont="1" applyBorder="1">
      <alignment vertical="center"/>
    </xf>
    <xf numFmtId="0" fontId="7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88" applyFont="1" applyBorder="1">
      <alignment/>
    </xf>
    <xf numFmtId="0" fontId="4" fillId="0" borderId="0" xfId="86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89" applyNumberFormat="1" applyFont="1" applyFill="1" applyBorder="1" applyAlignment="1">
      <alignment/>
    </xf>
    <xf numFmtId="0" fontId="11" fillId="0" borderId="0" xfId="87" applyNumberFormat="1" applyFont="1" applyFill="1" applyBorder="1" applyAlignment="1">
      <alignment vertical="center"/>
    </xf>
    <xf numFmtId="0" fontId="4" fillId="0" borderId="0" xfId="79" applyNumberFormat="1" applyFont="1" applyFill="1" applyBorder="1" applyAlignment="1">
      <alignment vertical="center"/>
    </xf>
    <xf numFmtId="0" fontId="4" fillId="0" borderId="0" xfId="79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87" applyNumberFormat="1" applyFont="1" applyFill="1" applyBorder="1" applyAlignment="1">
      <alignment vertical="center"/>
    </xf>
    <xf numFmtId="49" fontId="11" fillId="0" borderId="0" xfId="87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86" applyFont="1" applyBorder="1">
      <alignment vertical="center"/>
    </xf>
    <xf numFmtId="0" fontId="4" fillId="0" borderId="0" xfId="86" applyFont="1" applyBorder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86" applyFont="1" applyBorder="1">
      <alignment vertical="center"/>
    </xf>
    <xf numFmtId="0" fontId="0" fillId="0" borderId="0" xfId="79" applyNumberFormat="1" applyFont="1" applyFill="1" applyBorder="1" applyAlignment="1">
      <alignment vertical="center"/>
    </xf>
    <xf numFmtId="0" fontId="7" fillId="0" borderId="0" xfId="89" applyNumberFormat="1" applyFont="1" applyFill="1" applyBorder="1" applyAlignment="1">
      <alignment/>
    </xf>
    <xf numFmtId="0" fontId="11" fillId="0" borderId="0" xfId="88" applyFont="1" applyBorder="1">
      <alignment/>
    </xf>
    <xf numFmtId="0" fontId="4" fillId="0" borderId="0" xfId="80" applyNumberFormat="1" applyFont="1" applyFill="1" applyBorder="1" applyAlignment="1">
      <alignment horizontal="right"/>
      <protection/>
    </xf>
    <xf numFmtId="0" fontId="7" fillId="0" borderId="0" xfId="87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76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 vertical="center"/>
    </xf>
    <xf numFmtId="0" fontId="33" fillId="0" borderId="0" xfId="87" applyNumberFormat="1" applyFont="1" applyFill="1" applyBorder="1" applyAlignment="1">
      <alignment vertical="center"/>
    </xf>
    <xf numFmtId="0" fontId="32" fillId="0" borderId="0" xfId="87" applyNumberFormat="1" applyFont="1" applyFill="1" applyBorder="1" applyAlignment="1">
      <alignment vertical="center"/>
    </xf>
    <xf numFmtId="0" fontId="7" fillId="0" borderId="0" xfId="86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89" applyNumberFormat="1" applyFont="1" applyFill="1" applyBorder="1" applyAlignment="1">
      <alignment/>
    </xf>
    <xf numFmtId="57" fontId="0" fillId="0" borderId="0" xfId="0" applyNumberFormat="1" applyAlignment="1">
      <alignment vertical="center"/>
    </xf>
    <xf numFmtId="0" fontId="11" fillId="0" borderId="0" xfId="8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87" applyNumberFormat="1" applyFont="1" applyFill="1" applyBorder="1" applyAlignment="1">
      <alignment horizontal="left" vertical="center"/>
    </xf>
    <xf numFmtId="188" fontId="4" fillId="0" borderId="0" xfId="87" applyNumberFormat="1" applyFont="1" applyFill="1" applyBorder="1" applyAlignment="1">
      <alignment horizontal="right" vertical="center"/>
    </xf>
    <xf numFmtId="0" fontId="11" fillId="0" borderId="0" xfId="87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0" borderId="0" xfId="87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82" applyFont="1">
      <alignment vertical="center"/>
      <protection/>
    </xf>
    <xf numFmtId="0" fontId="0" fillId="0" borderId="0" xfId="82">
      <alignment vertical="center"/>
      <protection/>
    </xf>
    <xf numFmtId="0" fontId="11" fillId="0" borderId="0" xfId="76" applyFont="1" applyBorder="1" applyAlignment="1">
      <alignment horizontal="left" vertical="center"/>
    </xf>
    <xf numFmtId="0" fontId="7" fillId="0" borderId="0" xfId="80" applyNumberFormat="1" applyFont="1" applyFill="1" applyBorder="1" applyAlignment="1">
      <alignment horizontal="left"/>
      <protection/>
    </xf>
    <xf numFmtId="0" fontId="4" fillId="0" borderId="0" xfId="80" applyFont="1" applyFill="1" applyBorder="1" applyAlignment="1">
      <alignment horizontal="left" vertical="center"/>
      <protection/>
    </xf>
    <xf numFmtId="0" fontId="7" fillId="0" borderId="0" xfId="82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3" fillId="0" borderId="0" xfId="87" applyNumberFormat="1" applyFont="1" applyFill="1" applyBorder="1" applyAlignment="1">
      <alignment vertical="center"/>
    </xf>
    <xf numFmtId="0" fontId="9" fillId="0" borderId="0" xfId="87" applyNumberFormat="1" applyFont="1" applyFill="1" applyBorder="1" applyAlignment="1">
      <alignment vertical="center"/>
    </xf>
    <xf numFmtId="0" fontId="9" fillId="0" borderId="0" xfId="87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86" applyFont="1" applyBorder="1">
      <alignment vertical="center"/>
    </xf>
    <xf numFmtId="0" fontId="7" fillId="0" borderId="0" xfId="79" applyNumberFormat="1" applyFont="1" applyFill="1" applyBorder="1" applyAlignment="1">
      <alignment vertical="center"/>
    </xf>
    <xf numFmtId="0" fontId="7" fillId="0" borderId="0" xfId="80" applyFont="1" applyFill="1" applyBorder="1" applyAlignment="1">
      <alignment horizontal="left" vertical="center"/>
      <protection/>
    </xf>
    <xf numFmtId="0" fontId="4" fillId="0" borderId="0" xfId="79" applyNumberFormat="1" applyFont="1" applyFill="1" applyBorder="1" applyAlignment="1">
      <alignment horizontal="center" vertical="center"/>
    </xf>
    <xf numFmtId="0" fontId="7" fillId="0" borderId="0" xfId="87" applyNumberFormat="1" applyFont="1" applyFill="1" applyBorder="1" applyAlignment="1">
      <alignment horizontal="center" vertical="center"/>
    </xf>
    <xf numFmtId="0" fontId="2" fillId="0" borderId="0" xfId="87" applyNumberFormat="1" applyFont="1" applyFill="1" applyBorder="1" applyAlignment="1">
      <alignment vertical="center"/>
    </xf>
    <xf numFmtId="0" fontId="14" fillId="0" borderId="0" xfId="87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86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79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82" applyNumberFormat="1" applyFont="1" applyFill="1" applyBorder="1" applyAlignment="1">
      <alignment horizontal="left"/>
      <protection/>
    </xf>
    <xf numFmtId="187" fontId="4" fillId="0" borderId="0" xfId="82" applyNumberFormat="1" applyFont="1">
      <alignment vertical="center"/>
      <protection/>
    </xf>
    <xf numFmtId="10" fontId="4" fillId="0" borderId="0" xfId="82" applyNumberFormat="1" applyFont="1">
      <alignment vertical="center"/>
      <protection/>
    </xf>
    <xf numFmtId="0" fontId="11" fillId="0" borderId="0" xfId="80" applyNumberFormat="1" applyFont="1" applyFill="1" applyBorder="1" applyAlignment="1">
      <alignment horizontal="left"/>
      <protection/>
    </xf>
    <xf numFmtId="0" fontId="7" fillId="0" borderId="0" xfId="76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vertical="center" shrinkToFit="1"/>
    </xf>
    <xf numFmtId="0" fontId="0" fillId="0" borderId="42" xfId="0" applyNumberFormat="1" applyFont="1" applyFill="1" applyBorder="1" applyAlignment="1">
      <alignment vertical="center" shrinkToFit="1"/>
    </xf>
    <xf numFmtId="0" fontId="35" fillId="0" borderId="0" xfId="85" applyFont="1" applyAlignment="1">
      <alignment horizontal="center" vertical="center" wrapText="1"/>
      <protection/>
    </xf>
    <xf numFmtId="0" fontId="35" fillId="0" borderId="0" xfId="85" applyFont="1" applyAlignment="1">
      <alignment horizontal="left" vertical="center" wrapText="1"/>
      <protection/>
    </xf>
    <xf numFmtId="0" fontId="36" fillId="0" borderId="0" xfId="85" applyFont="1" applyAlignment="1">
      <alignment horizontal="left" vertical="center" wrapText="1"/>
      <protection/>
    </xf>
    <xf numFmtId="0" fontId="1" fillId="0" borderId="0" xfId="85">
      <alignment vertical="center"/>
      <protection/>
    </xf>
    <xf numFmtId="0" fontId="37" fillId="0" borderId="0" xfId="85" applyFont="1">
      <alignment vertical="center"/>
      <protection/>
    </xf>
    <xf numFmtId="0" fontId="11" fillId="0" borderId="43" xfId="85" applyFont="1" applyBorder="1">
      <alignment vertical="center"/>
      <protection/>
    </xf>
    <xf numFmtId="0" fontId="11" fillId="0" borderId="44" xfId="85" applyFont="1" applyBorder="1">
      <alignment vertical="center"/>
      <protection/>
    </xf>
    <xf numFmtId="0" fontId="11" fillId="0" borderId="45" xfId="85" applyFont="1" applyBorder="1">
      <alignment vertical="center"/>
      <protection/>
    </xf>
    <xf numFmtId="0" fontId="11" fillId="0" borderId="46" xfId="85" applyFont="1" applyBorder="1" applyAlignment="1">
      <alignment horizontal="center" vertical="center"/>
      <protection/>
    </xf>
    <xf numFmtId="0" fontId="11" fillId="0" borderId="47" xfId="85" applyFont="1" applyBorder="1" applyAlignment="1">
      <alignment horizontal="center" vertical="center"/>
      <protection/>
    </xf>
    <xf numFmtId="0" fontId="11" fillId="0" borderId="47" xfId="85" applyFont="1" applyBorder="1">
      <alignment vertical="center"/>
      <protection/>
    </xf>
    <xf numFmtId="0" fontId="11" fillId="0" borderId="48" xfId="85" applyFont="1" applyBorder="1">
      <alignment vertical="center"/>
      <protection/>
    </xf>
    <xf numFmtId="0" fontId="11" fillId="0" borderId="49" xfId="85" applyFont="1" applyBorder="1" applyAlignment="1">
      <alignment horizontal="center" vertical="center"/>
      <protection/>
    </xf>
    <xf numFmtId="0" fontId="11" fillId="0" borderId="50" xfId="85" applyFont="1" applyBorder="1" applyAlignment="1">
      <alignment horizontal="center" vertical="center"/>
      <protection/>
    </xf>
    <xf numFmtId="0" fontId="11" fillId="0" borderId="50" xfId="85" applyFont="1" applyBorder="1">
      <alignment vertical="center"/>
      <protection/>
    </xf>
    <xf numFmtId="0" fontId="11" fillId="0" borderId="51" xfId="85" applyFont="1" applyBorder="1">
      <alignment vertical="center"/>
      <protection/>
    </xf>
    <xf numFmtId="0" fontId="4" fillId="0" borderId="47" xfId="85" applyFont="1" applyBorder="1">
      <alignment vertical="center"/>
      <protection/>
    </xf>
    <xf numFmtId="0" fontId="11" fillId="0" borderId="52" xfId="85" applyFont="1" applyBorder="1">
      <alignment vertical="center"/>
      <protection/>
    </xf>
    <xf numFmtId="0" fontId="11" fillId="0" borderId="53" xfId="85" applyFont="1" applyBorder="1">
      <alignment vertical="center"/>
      <protection/>
    </xf>
    <xf numFmtId="0" fontId="11" fillId="0" borderId="54" xfId="85" applyFont="1" applyBorder="1">
      <alignment vertical="center"/>
      <protection/>
    </xf>
    <xf numFmtId="0" fontId="11" fillId="0" borderId="55" xfId="85" applyFont="1" applyBorder="1">
      <alignment vertical="center"/>
      <protection/>
    </xf>
    <xf numFmtId="0" fontId="11" fillId="0" borderId="56" xfId="0" applyNumberFormat="1" applyFont="1" applyFill="1" applyBorder="1" applyAlignment="1">
      <alignment horizontal="left" vertical="center"/>
    </xf>
    <xf numFmtId="0" fontId="4" fillId="0" borderId="57" xfId="84" applyFont="1" applyFill="1" applyBorder="1">
      <alignment vertical="center"/>
      <protection/>
    </xf>
    <xf numFmtId="0" fontId="11" fillId="0" borderId="58" xfId="85" applyFont="1" applyBorder="1" applyAlignment="1">
      <alignment horizontal="center" vertical="center"/>
      <protection/>
    </xf>
    <xf numFmtId="0" fontId="11" fillId="0" borderId="59" xfId="85" applyFont="1" applyBorder="1" applyAlignment="1">
      <alignment horizontal="center" vertical="center"/>
      <protection/>
    </xf>
    <xf numFmtId="0" fontId="11" fillId="0" borderId="59" xfId="85" applyFont="1" applyBorder="1">
      <alignment vertical="center"/>
      <protection/>
    </xf>
    <xf numFmtId="0" fontId="11" fillId="0" borderId="60" xfId="85" applyFont="1" applyBorder="1">
      <alignment vertical="center"/>
      <protection/>
    </xf>
    <xf numFmtId="0" fontId="4" fillId="0" borderId="56" xfId="0" applyNumberFormat="1" applyFont="1" applyFill="1" applyBorder="1" applyAlignment="1">
      <alignment horizontal="left" vertical="center"/>
    </xf>
    <xf numFmtId="0" fontId="4" fillId="0" borderId="59" xfId="85" applyFont="1" applyBorder="1">
      <alignment vertical="center"/>
      <protection/>
    </xf>
    <xf numFmtId="0" fontId="7" fillId="0" borderId="47" xfId="85" applyFont="1" applyBorder="1">
      <alignment vertical="center"/>
      <protection/>
    </xf>
    <xf numFmtId="0" fontId="7" fillId="0" borderId="55" xfId="85" applyFont="1" applyBorder="1">
      <alignment vertical="center"/>
      <protection/>
    </xf>
    <xf numFmtId="0" fontId="7" fillId="0" borderId="57" xfId="84" applyFont="1" applyFill="1" applyBorder="1">
      <alignment vertical="center"/>
      <protection/>
    </xf>
    <xf numFmtId="0" fontId="7" fillId="0" borderId="48" xfId="85" applyFont="1" applyBorder="1">
      <alignment vertical="center"/>
      <protection/>
    </xf>
    <xf numFmtId="0" fontId="7" fillId="0" borderId="59" xfId="85" applyFont="1" applyBorder="1">
      <alignment vertical="center"/>
      <protection/>
    </xf>
    <xf numFmtId="0" fontId="7" fillId="0" borderId="60" xfId="85" applyFont="1" applyBorder="1">
      <alignment vertical="center"/>
      <protection/>
    </xf>
    <xf numFmtId="0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NumberFormat="1" applyFont="1" applyFill="1" applyBorder="1" applyAlignment="1" applyProtection="1">
      <alignment vertical="center" shrinkToFit="1"/>
      <protection locked="0"/>
    </xf>
    <xf numFmtId="0" fontId="7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8" fillId="0" borderId="15" xfId="0" applyNumberFormat="1" applyFont="1" applyFill="1" applyBorder="1" applyAlignment="1">
      <alignment vertical="center" shrinkToFit="1"/>
    </xf>
    <xf numFmtId="0" fontId="8" fillId="0" borderId="22" xfId="0" applyNumberFormat="1" applyFont="1" applyFill="1" applyBorder="1" applyAlignment="1">
      <alignment vertical="center" shrinkToFit="1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55" xfId="85" applyFont="1" applyBorder="1">
      <alignment vertical="center"/>
      <protection/>
    </xf>
    <xf numFmtId="0" fontId="4" fillId="0" borderId="48" xfId="85" applyFont="1" applyBorder="1">
      <alignment vertical="center"/>
      <protection/>
    </xf>
    <xf numFmtId="0" fontId="4" fillId="0" borderId="60" xfId="85" applyFont="1" applyBorder="1">
      <alignment vertical="center"/>
      <protection/>
    </xf>
    <xf numFmtId="0" fontId="7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67" xfId="0" applyNumberFormat="1" applyFont="1" applyFill="1" applyBorder="1" applyAlignment="1" quotePrefix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40" xfId="0" applyFont="1" applyBorder="1" applyAlignment="1">
      <alignment vertical="center" shrinkToFit="1"/>
    </xf>
    <xf numFmtId="0" fontId="8" fillId="0" borderId="32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31" xfId="0" applyNumberFormat="1" applyFont="1" applyFill="1" applyBorder="1" applyAlignment="1">
      <alignment vertical="center" shrinkToFit="1"/>
    </xf>
    <xf numFmtId="0" fontId="0" fillId="0" borderId="67" xfId="0" applyNumberFormat="1" applyFont="1" applyFill="1" applyBorder="1" applyAlignment="1">
      <alignment vertical="center" shrinkToFit="1"/>
    </xf>
    <xf numFmtId="0" fontId="0" fillId="0" borderId="68" xfId="0" applyNumberFormat="1" applyFont="1" applyFill="1" applyBorder="1" applyAlignment="1">
      <alignment vertical="center" shrinkToFit="1"/>
    </xf>
    <xf numFmtId="0" fontId="0" fillId="0" borderId="67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69" xfId="0" applyNumberFormat="1" applyFont="1" applyFill="1" applyBorder="1" applyAlignment="1">
      <alignment vertical="center" shrinkToFit="1"/>
    </xf>
    <xf numFmtId="0" fontId="4" fillId="0" borderId="67" xfId="0" applyNumberFormat="1" applyFont="1" applyFill="1" applyBorder="1" applyAlignment="1">
      <alignment vertical="center" shrinkToFit="1"/>
    </xf>
    <xf numFmtId="0" fontId="4" fillId="0" borderId="70" xfId="0" applyNumberFormat="1" applyFont="1" applyFill="1" applyBorder="1" applyAlignment="1">
      <alignment vertical="center" shrinkToFit="1"/>
    </xf>
    <xf numFmtId="0" fontId="4" fillId="0" borderId="69" xfId="0" applyNumberFormat="1" applyFont="1" applyFill="1" applyBorder="1" applyAlignment="1">
      <alignment vertical="center" shrinkToFit="1"/>
    </xf>
    <xf numFmtId="0" fontId="0" fillId="0" borderId="70" xfId="0" applyNumberFormat="1" applyFont="1" applyFill="1" applyBorder="1" applyAlignment="1">
      <alignment vertical="center" shrinkToFit="1"/>
    </xf>
    <xf numFmtId="0" fontId="0" fillId="0" borderId="71" xfId="0" applyNumberFormat="1" applyFont="1" applyFill="1" applyBorder="1" applyAlignment="1">
      <alignment vertical="center" shrinkToFit="1"/>
    </xf>
    <xf numFmtId="0" fontId="0" fillId="0" borderId="72" xfId="0" applyNumberFormat="1" applyFont="1" applyFill="1" applyBorder="1" applyAlignment="1">
      <alignment vertical="center" shrinkToFit="1"/>
    </xf>
    <xf numFmtId="0" fontId="4" fillId="0" borderId="68" xfId="0" applyNumberFormat="1" applyFont="1" applyFill="1" applyBorder="1" applyAlignment="1">
      <alignment vertical="center" shrinkToFit="1"/>
    </xf>
    <xf numFmtId="0" fontId="4" fillId="0" borderId="73" xfId="0" applyNumberFormat="1" applyFont="1" applyFill="1" applyBorder="1" applyAlignment="1">
      <alignment vertical="center" shrinkToFit="1"/>
    </xf>
    <xf numFmtId="0" fontId="4" fillId="0" borderId="7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81" fontId="8" fillId="0" borderId="75" xfId="0" applyNumberFormat="1" applyFont="1" applyFill="1" applyBorder="1" applyAlignment="1">
      <alignment horizontal="center" vertical="center" shrinkToFit="1"/>
    </xf>
    <xf numFmtId="181" fontId="8" fillId="0" borderId="76" xfId="0" applyNumberFormat="1" applyFont="1" applyFill="1" applyBorder="1" applyAlignment="1">
      <alignment horizontal="center" vertical="center" shrinkToFit="1"/>
    </xf>
    <xf numFmtId="0" fontId="8" fillId="0" borderId="77" xfId="0" applyNumberFormat="1" applyFont="1" applyFill="1" applyBorder="1" applyAlignment="1">
      <alignment horizontal="center" vertical="center" shrinkToFit="1"/>
    </xf>
    <xf numFmtId="0" fontId="8" fillId="0" borderId="78" xfId="0" applyNumberFormat="1" applyFont="1" applyFill="1" applyBorder="1" applyAlignment="1">
      <alignment horizontal="center" vertical="center" shrinkToFit="1"/>
    </xf>
    <xf numFmtId="0" fontId="8" fillId="0" borderId="79" xfId="0" applyNumberFormat="1" applyFont="1" applyFill="1" applyBorder="1" applyAlignment="1">
      <alignment horizontal="center" vertical="center" shrinkToFit="1"/>
    </xf>
    <xf numFmtId="0" fontId="8" fillId="0" borderId="80" xfId="0" applyNumberFormat="1" applyFont="1" applyFill="1" applyBorder="1" applyAlignment="1">
      <alignment horizontal="center" vertical="center" shrinkToFit="1"/>
    </xf>
    <xf numFmtId="0" fontId="8" fillId="0" borderId="81" xfId="0" applyNumberFormat="1" applyFont="1" applyFill="1" applyBorder="1" applyAlignment="1">
      <alignment horizontal="center" vertical="center" shrinkToFit="1"/>
    </xf>
    <xf numFmtId="0" fontId="8" fillId="0" borderId="82" xfId="0" applyNumberFormat="1" applyFont="1" applyFill="1" applyBorder="1" applyAlignment="1">
      <alignment horizontal="center" vertical="center" shrinkToFit="1"/>
    </xf>
    <xf numFmtId="2" fontId="4" fillId="0" borderId="83" xfId="0" applyNumberFormat="1" applyFont="1" applyFill="1" applyBorder="1" applyAlignment="1">
      <alignment horizontal="center" vertical="center" shrinkToFit="1"/>
    </xf>
    <xf numFmtId="2" fontId="4" fillId="0" borderId="75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left" vertical="center" shrinkToFit="1"/>
    </xf>
    <xf numFmtId="182" fontId="3" fillId="0" borderId="84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6" xfId="0" applyNumberFormat="1" applyFont="1" applyFill="1" applyBorder="1" applyAlignment="1">
      <alignment horizontal="left" vertical="center" shrinkToFit="1"/>
    </xf>
    <xf numFmtId="2" fontId="8" fillId="0" borderId="83" xfId="0" applyNumberFormat="1" applyFont="1" applyFill="1" applyBorder="1" applyAlignment="1">
      <alignment horizontal="center" vertical="center" shrinkToFit="1"/>
    </xf>
    <xf numFmtId="2" fontId="8" fillId="0" borderId="75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2" fontId="8" fillId="0" borderId="23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37" xfId="0" applyNumberFormat="1" applyFont="1" applyFill="1" applyBorder="1" applyAlignment="1">
      <alignment horizontal="right" vertical="center"/>
    </xf>
    <xf numFmtId="180" fontId="8" fillId="0" borderId="21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182" fontId="41" fillId="0" borderId="21" xfId="0" applyNumberFormat="1" applyFont="1" applyFill="1" applyBorder="1" applyAlignment="1">
      <alignment horizontal="left" vertical="center" shrinkToFit="1"/>
    </xf>
    <xf numFmtId="182" fontId="41" fillId="0" borderId="84" xfId="0" applyNumberFormat="1" applyFont="1" applyFill="1" applyBorder="1" applyAlignment="1">
      <alignment horizontal="left" vertical="center" shrinkToFit="1"/>
    </xf>
    <xf numFmtId="182" fontId="41" fillId="0" borderId="0" xfId="0" applyNumberFormat="1" applyFont="1" applyFill="1" applyBorder="1" applyAlignment="1">
      <alignment horizontal="left" vertical="center" shrinkToFit="1"/>
    </xf>
    <xf numFmtId="182" fontId="41" fillId="0" borderId="16" xfId="0" applyNumberFormat="1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4" fillId="0" borderId="78" xfId="0" applyNumberFormat="1" applyFont="1" applyFill="1" applyBorder="1" applyAlignment="1">
      <alignment horizontal="center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80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Fill="1" applyBorder="1" applyAlignment="1">
      <alignment horizontal="center" vertical="center" shrinkToFit="1"/>
    </xf>
    <xf numFmtId="0" fontId="4" fillId="0" borderId="86" xfId="0" applyNumberFormat="1" applyFont="1" applyFill="1" applyBorder="1" applyAlignment="1">
      <alignment horizontal="center" vertical="center" shrinkToFit="1"/>
    </xf>
    <xf numFmtId="0" fontId="4" fillId="0" borderId="87" xfId="0" applyNumberFormat="1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181" fontId="7" fillId="0" borderId="75" xfId="0" applyNumberFormat="1" applyFont="1" applyFill="1" applyBorder="1" applyAlignment="1">
      <alignment horizontal="center" vertical="center" shrinkToFit="1"/>
    </xf>
    <xf numFmtId="181" fontId="7" fillId="0" borderId="90" xfId="0" applyNumberFormat="1" applyFont="1" applyFill="1" applyBorder="1" applyAlignment="1">
      <alignment horizontal="center" vertical="center" shrinkToFit="1"/>
    </xf>
    <xf numFmtId="181" fontId="4" fillId="0" borderId="75" xfId="0" applyNumberFormat="1" applyFont="1" applyFill="1" applyBorder="1" applyAlignment="1">
      <alignment horizontal="center" vertical="center" shrinkToFit="1"/>
    </xf>
    <xf numFmtId="181" fontId="4" fillId="0" borderId="90" xfId="0" applyNumberFormat="1" applyFont="1" applyFill="1" applyBorder="1" applyAlignment="1">
      <alignment horizontal="center" vertical="center" shrinkToFit="1"/>
    </xf>
    <xf numFmtId="182" fontId="40" fillId="0" borderId="21" xfId="0" applyNumberFormat="1" applyFont="1" applyFill="1" applyBorder="1" applyAlignment="1">
      <alignment horizontal="left" vertical="center" shrinkToFit="1"/>
    </xf>
    <xf numFmtId="182" fontId="40" fillId="0" borderId="84" xfId="0" applyNumberFormat="1" applyFont="1" applyFill="1" applyBorder="1" applyAlignment="1">
      <alignment horizontal="left" vertical="center" shrinkToFit="1"/>
    </xf>
    <xf numFmtId="182" fontId="40" fillId="0" borderId="0" xfId="0" applyNumberFormat="1" applyFont="1" applyFill="1" applyBorder="1" applyAlignment="1">
      <alignment horizontal="left" vertical="center" shrinkToFit="1"/>
    </xf>
    <xf numFmtId="182" fontId="40" fillId="0" borderId="16" xfId="0" applyNumberFormat="1" applyFont="1" applyFill="1" applyBorder="1" applyAlignment="1">
      <alignment horizontal="left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horizontal="center" vertical="center" shrinkToFit="1"/>
    </xf>
    <xf numFmtId="0" fontId="4" fillId="0" borderId="90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5" xfId="0" applyNumberFormat="1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83" xfId="0" applyNumberFormat="1" applyFont="1" applyFill="1" applyBorder="1" applyAlignment="1">
      <alignment horizontal="center" vertical="center" shrinkToFit="1"/>
    </xf>
    <xf numFmtId="2" fontId="7" fillId="0" borderId="75" xfId="0" applyNumberFormat="1" applyFont="1" applyFill="1" applyBorder="1" applyAlignment="1">
      <alignment horizontal="center" vertical="center" shrinkToFit="1"/>
    </xf>
    <xf numFmtId="181" fontId="4" fillId="0" borderId="76" xfId="0" applyNumberFormat="1" applyFont="1" applyFill="1" applyBorder="1" applyAlignment="1">
      <alignment horizontal="center" vertical="center" shrinkToFit="1"/>
    </xf>
    <xf numFmtId="0" fontId="4" fillId="0" borderId="91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Fill="1" applyBorder="1" applyAlignment="1">
      <alignment horizontal="center" vertical="center" shrinkToFit="1"/>
    </xf>
    <xf numFmtId="0" fontId="4" fillId="0" borderId="82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92" xfId="0" applyNumberFormat="1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81" fontId="8" fillId="0" borderId="90" xfId="0" applyNumberFormat="1" applyFont="1" applyFill="1" applyBorder="1" applyAlignment="1">
      <alignment horizontal="center" vertical="center" shrinkToFit="1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4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3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64" xfId="0" applyNumberFormat="1" applyFont="1" applyFill="1" applyBorder="1" applyAlignment="1">
      <alignment horizontal="center" vertical="center" wrapText="1" shrinkToFit="1"/>
    </xf>
    <xf numFmtId="0" fontId="33" fillId="0" borderId="19" xfId="0" applyNumberFormat="1" applyFont="1" applyFill="1" applyBorder="1" applyAlignment="1">
      <alignment horizontal="center" vertical="center" wrapText="1" shrinkToFit="1"/>
    </xf>
    <xf numFmtId="0" fontId="33" fillId="0" borderId="0" xfId="0" applyNumberFormat="1" applyFont="1" applyFill="1" applyBorder="1" applyAlignment="1">
      <alignment horizontal="center" vertical="center" wrapText="1" shrinkToFit="1"/>
    </xf>
    <xf numFmtId="0" fontId="33" fillId="0" borderId="17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wrapText="1" shrinkToFit="1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2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8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9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4" fillId="0" borderId="95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96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7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>
      <alignment horizontal="center" vertical="center" shrinkToFit="1"/>
    </xf>
    <xf numFmtId="0" fontId="42" fillId="0" borderId="63" xfId="0" applyNumberFormat="1" applyFont="1" applyFill="1" applyBorder="1" applyAlignment="1">
      <alignment horizontal="center" vertical="center" wrapText="1" shrinkToFit="1"/>
    </xf>
    <xf numFmtId="0" fontId="42" fillId="0" borderId="21" xfId="0" applyNumberFormat="1" applyFont="1" applyFill="1" applyBorder="1" applyAlignment="1">
      <alignment horizontal="center" vertical="center" wrapText="1" shrinkToFit="1"/>
    </xf>
    <xf numFmtId="0" fontId="42" fillId="0" borderId="64" xfId="0" applyNumberFormat="1" applyFont="1" applyFill="1" applyBorder="1" applyAlignment="1">
      <alignment horizontal="center" vertical="center" wrapText="1" shrinkToFit="1"/>
    </xf>
    <xf numFmtId="0" fontId="42" fillId="0" borderId="19" xfId="0" applyNumberFormat="1" applyFont="1" applyFill="1" applyBorder="1" applyAlignment="1">
      <alignment horizontal="center" vertical="center" wrapText="1" shrinkToFit="1"/>
    </xf>
    <xf numFmtId="0" fontId="42" fillId="0" borderId="0" xfId="0" applyNumberFormat="1" applyFont="1" applyFill="1" applyBorder="1" applyAlignment="1">
      <alignment horizontal="center" vertical="center" wrapText="1" shrinkToFit="1"/>
    </xf>
    <xf numFmtId="0" fontId="42" fillId="0" borderId="17" xfId="0" applyNumberFormat="1" applyFont="1" applyFill="1" applyBorder="1" applyAlignment="1">
      <alignment horizontal="center" vertical="center" wrapText="1" shrinkToFit="1"/>
    </xf>
    <xf numFmtId="0" fontId="42" fillId="0" borderId="20" xfId="0" applyNumberFormat="1" applyFont="1" applyFill="1" applyBorder="1" applyAlignment="1">
      <alignment horizontal="center" vertical="center" wrapText="1" shrinkToFit="1"/>
    </xf>
    <xf numFmtId="0" fontId="42" fillId="0" borderId="15" xfId="0" applyNumberFormat="1" applyFont="1" applyFill="1" applyBorder="1" applyAlignment="1">
      <alignment horizontal="center" vertical="center" wrapText="1" shrinkToFit="1"/>
    </xf>
    <xf numFmtId="0" fontId="42" fillId="0" borderId="22" xfId="0" applyNumberFormat="1" applyFont="1" applyFill="1" applyBorder="1" applyAlignment="1">
      <alignment horizontal="center" vertical="center" wrapText="1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4" fillId="0" borderId="97" xfId="0" applyNumberFormat="1" applyFont="1" applyFill="1" applyBorder="1" applyAlignment="1" quotePrefix="1">
      <alignment horizontal="center" vertical="center" shrinkToFit="1"/>
    </xf>
    <xf numFmtId="0" fontId="4" fillId="0" borderId="98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94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2" fontId="8" fillId="0" borderId="15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99" xfId="0" applyNumberFormat="1" applyFont="1" applyFill="1" applyBorder="1" applyAlignment="1" quotePrefix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 quotePrefix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 quotePrefix="1">
      <alignment horizontal="center" vertical="center" shrinkToFit="1"/>
    </xf>
    <xf numFmtId="0" fontId="4" fillId="0" borderId="10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NumberFormat="1" applyFont="1" applyFill="1" applyBorder="1" applyAlignment="1">
      <alignment horizontal="center" vertical="center" wrapText="1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64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21" xfId="0" applyNumberForma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0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0" fillId="0" borderId="63" xfId="0" applyNumberForma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9" fillId="0" borderId="0" xfId="87" applyNumberFormat="1" applyFont="1" applyFill="1" applyBorder="1" applyAlignment="1">
      <alignment horizontal="left" vertical="center"/>
    </xf>
    <xf numFmtId="187" fontId="11" fillId="0" borderId="0" xfId="87" applyNumberFormat="1" applyFont="1" applyFill="1" applyBorder="1" applyAlignment="1">
      <alignment horizontal="center" vertical="center"/>
    </xf>
    <xf numFmtId="187" fontId="7" fillId="0" borderId="0" xfId="79" applyNumberFormat="1" applyFont="1" applyFill="1" applyBorder="1" applyAlignment="1">
      <alignment horizontal="center"/>
    </xf>
    <xf numFmtId="49" fontId="11" fillId="0" borderId="0" xfId="87" applyNumberFormat="1" applyFont="1" applyFill="1" applyBorder="1" applyAlignment="1">
      <alignment horizontal="center" vertical="center"/>
    </xf>
    <xf numFmtId="0" fontId="11" fillId="0" borderId="0" xfId="87" applyNumberFormat="1" applyFont="1" applyFill="1" applyBorder="1" applyAlignment="1">
      <alignment horizontal="center" vertical="center"/>
    </xf>
    <xf numFmtId="0" fontId="7" fillId="0" borderId="0" xfId="79" applyNumberFormat="1" applyFont="1" applyFill="1" applyBorder="1" applyAlignment="1">
      <alignment horizontal="center"/>
    </xf>
    <xf numFmtId="10" fontId="7" fillId="0" borderId="0" xfId="79" applyNumberFormat="1" applyFont="1" applyFill="1" applyBorder="1" applyAlignment="1">
      <alignment horizontal="center"/>
    </xf>
    <xf numFmtId="0" fontId="4" fillId="0" borderId="0" xfId="87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0" fontId="11" fillId="0" borderId="0" xfId="8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79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87" applyNumberFormat="1" applyFont="1" applyFill="1" applyBorder="1" applyAlignment="1">
      <alignment horizontal="center" vertical="center"/>
    </xf>
    <xf numFmtId="0" fontId="2" fillId="0" borderId="0" xfId="87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87" applyNumberFormat="1" applyFont="1" applyFill="1" applyBorder="1" applyAlignment="1">
      <alignment horizontal="left" vertical="center"/>
    </xf>
    <xf numFmtId="0" fontId="11" fillId="0" borderId="0" xfId="76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6" borderId="34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0" fontId="0" fillId="26" borderId="35" xfId="0" applyNumberFormat="1" applyFont="1" applyFill="1" applyBorder="1" applyAlignment="1">
      <alignment horizontal="center" vertical="center"/>
    </xf>
    <xf numFmtId="0" fontId="0" fillId="26" borderId="14" xfId="0" applyNumberFormat="1" applyFont="1" applyFill="1" applyBorder="1" applyAlignment="1">
      <alignment horizontal="center" vertical="center"/>
    </xf>
    <xf numFmtId="0" fontId="0" fillId="26" borderId="0" xfId="0" applyNumberFormat="1" applyFont="1" applyFill="1" applyBorder="1" applyAlignment="1">
      <alignment horizontal="center" vertical="center"/>
    </xf>
    <xf numFmtId="0" fontId="0" fillId="26" borderId="16" xfId="0" applyNumberFormat="1" applyFont="1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26" borderId="23" xfId="0" applyNumberFormat="1" applyFont="1" applyFill="1" applyBorder="1" applyAlignment="1">
      <alignment horizontal="center" vertical="center"/>
    </xf>
    <xf numFmtId="0" fontId="0" fillId="26" borderId="3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411supercupkekka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通貨 2_201511aobadraw" xfId="65"/>
    <cellStyle name="入力" xfId="66"/>
    <cellStyle name="標準 10" xfId="67"/>
    <cellStyle name="標準 2" xfId="68"/>
    <cellStyle name="標準 2 2" xfId="69"/>
    <cellStyle name="標準 2 2 2" xfId="70"/>
    <cellStyle name="標準 2 2 2 2" xfId="71"/>
    <cellStyle name="標準 2 2 3" xfId="72"/>
    <cellStyle name="標準 2 2_201511aobadraw" xfId="73"/>
    <cellStyle name="標準 2 3" xfId="74"/>
    <cellStyle name="標準 2_2012ouzadraw" xfId="75"/>
    <cellStyle name="標準 3" xfId="76"/>
    <cellStyle name="標準 3 2" xfId="77"/>
    <cellStyle name="標準 3_201411supercupkekka" xfId="78"/>
    <cellStyle name="標準 3_登録ナンバー" xfId="79"/>
    <cellStyle name="標準 4" xfId="80"/>
    <cellStyle name="標準 5" xfId="81"/>
    <cellStyle name="標準 6" xfId="82"/>
    <cellStyle name="標準 7" xfId="83"/>
    <cellStyle name="標準 9" xfId="84"/>
    <cellStyle name="標準_201102vmixkekka" xfId="85"/>
    <cellStyle name="標準_Book2" xfId="86"/>
    <cellStyle name="標準_Book2_登録ナンバー" xfId="87"/>
    <cellStyle name="標準_Sheet1" xfId="88"/>
    <cellStyle name="標準_Sheet1_登録ナンバー" xfId="89"/>
    <cellStyle name="標準_登録ナンバー" xfId="90"/>
    <cellStyle name="標準_登録ナンバー　2013.06.07" xfId="91"/>
    <cellStyle name="Followed Hyperlink" xfId="92"/>
    <cellStyle name="良い" xfId="93"/>
  </cellStyles>
  <dxfs count="5"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58</xdr:col>
      <xdr:colOff>85725</xdr:colOff>
      <xdr:row>42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3816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28</xdr:col>
      <xdr:colOff>28575</xdr:colOff>
      <xdr:row>72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76750"/>
          <a:ext cx="26955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47</xdr:row>
      <xdr:rowOff>0</xdr:rowOff>
    </xdr:from>
    <xdr:to>
      <xdr:col>59</xdr:col>
      <xdr:colOff>47625</xdr:colOff>
      <xdr:row>72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4476750"/>
          <a:ext cx="29051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28575</xdr:rowOff>
    </xdr:from>
    <xdr:to>
      <xdr:col>28</xdr:col>
      <xdr:colOff>47625</xdr:colOff>
      <xdr:row>106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48575"/>
          <a:ext cx="27146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59</xdr:col>
      <xdr:colOff>66675</xdr:colOff>
      <xdr:row>105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7620000"/>
          <a:ext cx="29241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512</xdr:row>
      <xdr:rowOff>114300</xdr:rowOff>
    </xdr:from>
    <xdr:to>
      <xdr:col>2</xdr:col>
      <xdr:colOff>57150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879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407</xdr:row>
      <xdr:rowOff>114300</xdr:rowOff>
    </xdr:from>
    <xdr:to>
      <xdr:col>2</xdr:col>
      <xdr:colOff>57150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6990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522</xdr:row>
      <xdr:rowOff>114300</xdr:rowOff>
    </xdr:from>
    <xdr:to>
      <xdr:col>2</xdr:col>
      <xdr:colOff>57150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23950" y="896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413</xdr:row>
      <xdr:rowOff>114300</xdr:rowOff>
    </xdr:from>
    <xdr:to>
      <xdr:col>2</xdr:col>
      <xdr:colOff>57150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123950" y="7093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597</xdr:row>
      <xdr:rowOff>114300</xdr:rowOff>
    </xdr:from>
    <xdr:to>
      <xdr:col>2</xdr:col>
      <xdr:colOff>57150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123950" y="1028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462</xdr:row>
      <xdr:rowOff>114300</xdr:rowOff>
    </xdr:from>
    <xdr:to>
      <xdr:col>2</xdr:col>
      <xdr:colOff>57150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123950" y="793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N159"/>
  <sheetViews>
    <sheetView zoomScaleSheetLayoutView="100" workbookViewId="0" topLeftCell="A62">
      <selection activeCell="AN22" sqref="AN22:AQ24"/>
    </sheetView>
  </sheetViews>
  <sheetFormatPr defaultColWidth="1.12109375" defaultRowHeight="7.5" customHeight="1"/>
  <cols>
    <col min="1" max="1" width="1.12109375" style="3" customWidth="1"/>
    <col min="2" max="2" width="0.74609375" style="3" hidden="1" customWidth="1"/>
    <col min="3" max="3" width="0.875" style="3" hidden="1" customWidth="1"/>
    <col min="4" max="4" width="2.625" style="3" hidden="1" customWidth="1"/>
    <col min="5" max="5" width="1.875" style="3" hidden="1" customWidth="1"/>
    <col min="6" max="9" width="0.875" style="3" customWidth="1"/>
    <col min="10" max="10" width="2.00390625" style="3" customWidth="1"/>
    <col min="11" max="11" width="0.875" style="3" customWidth="1"/>
    <col min="12" max="13" width="0.875" style="3" hidden="1" customWidth="1"/>
    <col min="14" max="14" width="4.625" style="3" hidden="1" customWidth="1"/>
    <col min="15" max="17" width="0.875" style="3" customWidth="1"/>
    <col min="18" max="18" width="1.625" style="3" customWidth="1"/>
    <col min="19" max="20" width="0.875" style="3" customWidth="1"/>
    <col min="21" max="21" width="1.4921875" style="3" customWidth="1"/>
    <col min="22" max="29" width="0.875" style="3" customWidth="1"/>
    <col min="30" max="30" width="1.4921875" style="3" customWidth="1"/>
    <col min="31" max="33" width="0.875" style="3" customWidth="1"/>
    <col min="34" max="34" width="1.37890625" style="3" customWidth="1"/>
    <col min="35" max="37" width="0.875" style="3" customWidth="1"/>
    <col min="38" max="38" width="1.37890625" style="3" customWidth="1"/>
    <col min="39" max="41" width="0.875" style="3" customWidth="1"/>
    <col min="42" max="42" width="0.2421875" style="3" customWidth="1"/>
    <col min="43" max="43" width="1.625" style="3" customWidth="1"/>
    <col min="44" max="44" width="0.875" style="3" customWidth="1"/>
    <col min="45" max="45" width="2.875" style="3" customWidth="1"/>
    <col min="46" max="47" width="0.37109375" style="3" customWidth="1"/>
    <col min="48" max="49" width="1.25" style="3" customWidth="1"/>
    <col min="50" max="50" width="0.5" style="3" customWidth="1"/>
    <col min="51" max="51" width="1.25" style="3" customWidth="1"/>
    <col min="52" max="52" width="4.75390625" style="3" customWidth="1"/>
    <col min="53" max="53" width="2.375" style="3" customWidth="1"/>
    <col min="54" max="54" width="1.25" style="3" customWidth="1"/>
    <col min="55" max="55" width="0.12890625" style="3" customWidth="1"/>
    <col min="56" max="58" width="1.25" style="3" customWidth="1"/>
    <col min="59" max="59" width="2.125" style="3" customWidth="1"/>
    <col min="60" max="60" width="1.25" style="3" customWidth="1"/>
    <col min="61" max="61" width="0.74609375" style="3" hidden="1" customWidth="1"/>
    <col min="62" max="62" width="0.875" style="3" hidden="1" customWidth="1"/>
    <col min="63" max="63" width="4.375" style="3" hidden="1" customWidth="1"/>
    <col min="64" max="64" width="0.875" style="3" hidden="1" customWidth="1"/>
    <col min="65" max="68" width="0.875" style="3" customWidth="1"/>
    <col min="69" max="69" width="2.125" style="3" customWidth="1"/>
    <col min="70" max="70" width="0.875" style="3" customWidth="1"/>
    <col min="71" max="71" width="3.125" style="3" hidden="1" customWidth="1"/>
    <col min="72" max="72" width="0.875" style="3" hidden="1" customWidth="1"/>
    <col min="73" max="73" width="1.625" style="3" hidden="1" customWidth="1"/>
    <col min="74" max="75" width="0.875" style="3" customWidth="1"/>
    <col min="76" max="76" width="1.37890625" style="3" customWidth="1"/>
    <col min="77" max="79" width="0.875" style="3" customWidth="1"/>
    <col min="80" max="80" width="1.4921875" style="3" customWidth="1"/>
    <col min="81" max="102" width="0.875" style="3" customWidth="1"/>
    <col min="103" max="103" width="1.00390625" style="3" customWidth="1"/>
    <col min="104" max="104" width="2.00390625" style="3" customWidth="1"/>
    <col min="105" max="105" width="1.4921875" style="3" customWidth="1"/>
    <col min="106" max="106" width="0.12890625" style="3" customWidth="1"/>
    <col min="107" max="107" width="1.25" style="3" customWidth="1"/>
    <col min="108" max="108" width="0.37109375" style="3" customWidth="1"/>
    <col min="109" max="109" width="1.25" style="3" customWidth="1"/>
    <col min="110" max="110" width="1.12109375" style="3" customWidth="1"/>
    <col min="111" max="111" width="4.25390625" style="3" customWidth="1"/>
    <col min="112" max="112" width="2.375" style="3" customWidth="1"/>
    <col min="113" max="113" width="0.37109375" style="3" customWidth="1"/>
    <col min="114" max="117" width="1.12109375" style="3" customWidth="1"/>
    <col min="118" max="118" width="0.6171875" style="3" customWidth="1"/>
    <col min="119" max="16384" width="1.12109375" style="3" customWidth="1"/>
  </cols>
  <sheetData>
    <row r="1" spans="3:118" ht="12" customHeight="1">
      <c r="C1" s="367" t="s">
        <v>1827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622" t="s">
        <v>1730</v>
      </c>
      <c r="CQ1" s="622"/>
      <c r="CR1" s="622"/>
      <c r="CS1" s="622"/>
      <c r="CT1" s="622"/>
      <c r="CU1" s="622"/>
      <c r="CV1" s="622"/>
      <c r="CW1" s="622"/>
      <c r="CX1" s="622"/>
      <c r="CY1" s="622"/>
      <c r="CZ1" s="622"/>
      <c r="DA1" s="622"/>
      <c r="DB1" s="622"/>
      <c r="DC1" s="622"/>
      <c r="DD1" s="622"/>
      <c r="DE1" s="622"/>
      <c r="DF1" s="622"/>
      <c r="DG1" s="622"/>
      <c r="DH1" s="622"/>
      <c r="DI1" s="622"/>
      <c r="DJ1" s="622"/>
      <c r="DK1" s="622"/>
      <c r="DL1" s="622"/>
      <c r="DM1" s="622"/>
      <c r="DN1" s="622"/>
    </row>
    <row r="2" spans="3:118" ht="12" customHeight="1"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7"/>
      <c r="CK2" s="367"/>
      <c r="CL2" s="367"/>
      <c r="CM2" s="367"/>
      <c r="CN2" s="367"/>
      <c r="CO2" s="367"/>
      <c r="CP2" s="622"/>
      <c r="CQ2" s="622"/>
      <c r="CR2" s="622"/>
      <c r="CS2" s="622"/>
      <c r="CT2" s="622"/>
      <c r="CU2" s="622"/>
      <c r="CV2" s="622"/>
      <c r="CW2" s="622"/>
      <c r="CX2" s="622"/>
      <c r="CY2" s="622"/>
      <c r="CZ2" s="622"/>
      <c r="DA2" s="622"/>
      <c r="DB2" s="622"/>
      <c r="DC2" s="622"/>
      <c r="DD2" s="622"/>
      <c r="DE2" s="622"/>
      <c r="DF2" s="622"/>
      <c r="DG2" s="622"/>
      <c r="DH2" s="622"/>
      <c r="DI2" s="622"/>
      <c r="DJ2" s="622"/>
      <c r="DK2" s="622"/>
      <c r="DL2" s="622"/>
      <c r="DM2" s="622"/>
      <c r="DN2" s="622"/>
    </row>
    <row r="3" spans="3:118" ht="12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622"/>
      <c r="CQ3" s="622"/>
      <c r="CR3" s="622"/>
      <c r="CS3" s="622"/>
      <c r="CT3" s="622"/>
      <c r="CU3" s="622"/>
      <c r="CV3" s="622"/>
      <c r="CW3" s="622"/>
      <c r="CX3" s="622"/>
      <c r="CY3" s="622"/>
      <c r="CZ3" s="622"/>
      <c r="DA3" s="622"/>
      <c r="DB3" s="622"/>
      <c r="DC3" s="622"/>
      <c r="DD3" s="622"/>
      <c r="DE3" s="622"/>
      <c r="DF3" s="622"/>
      <c r="DG3" s="622"/>
      <c r="DH3" s="622"/>
      <c r="DI3" s="622"/>
      <c r="DJ3" s="622"/>
      <c r="DK3" s="622"/>
      <c r="DL3" s="622"/>
      <c r="DM3" s="622"/>
      <c r="DN3" s="622"/>
    </row>
    <row r="4" spans="3:118" ht="12" customHeight="1">
      <c r="C4" s="426" t="s">
        <v>1826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2"/>
      <c r="BJ4" s="426" t="s">
        <v>1825</v>
      </c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</row>
    <row r="5" spans="3:118" ht="12" customHeight="1" thickBot="1"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2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  <c r="DN5" s="428"/>
    </row>
    <row r="6" spans="1:118" ht="12" customHeight="1">
      <c r="A6" s="16"/>
      <c r="C6" s="517" t="s">
        <v>833</v>
      </c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68"/>
      <c r="T6" s="517" t="str">
        <f>F10</f>
        <v>池端</v>
      </c>
      <c r="U6" s="518"/>
      <c r="V6" s="518"/>
      <c r="W6" s="518"/>
      <c r="X6" s="518"/>
      <c r="Y6" s="518"/>
      <c r="Z6" s="518"/>
      <c r="AA6" s="568"/>
      <c r="AB6" s="345" t="str">
        <f>F14</f>
        <v>川並</v>
      </c>
      <c r="AC6" s="426"/>
      <c r="AD6" s="426"/>
      <c r="AE6" s="426"/>
      <c r="AF6" s="426"/>
      <c r="AG6" s="426"/>
      <c r="AH6" s="426"/>
      <c r="AI6" s="426"/>
      <c r="AJ6" s="517" t="str">
        <f>F18</f>
        <v>四元</v>
      </c>
      <c r="AK6" s="518"/>
      <c r="AL6" s="518"/>
      <c r="AM6" s="518"/>
      <c r="AN6" s="518"/>
      <c r="AO6" s="518"/>
      <c r="AP6" s="518"/>
      <c r="AQ6" s="568"/>
      <c r="AR6" s="517" t="str">
        <f>F22</f>
        <v>福岡</v>
      </c>
      <c r="AS6" s="518"/>
      <c r="AT6" s="518"/>
      <c r="AU6" s="518"/>
      <c r="AV6" s="518"/>
      <c r="AW6" s="518"/>
      <c r="AX6" s="518"/>
      <c r="AY6" s="519"/>
      <c r="AZ6" s="513">
        <f>IF(AZ12&lt;&gt;"","取得","")</f>
      </c>
      <c r="BA6" s="55"/>
      <c r="BB6" s="518" t="s">
        <v>834</v>
      </c>
      <c r="BC6" s="518"/>
      <c r="BD6" s="518"/>
      <c r="BE6" s="518"/>
      <c r="BF6" s="518"/>
      <c r="BG6" s="521"/>
      <c r="BH6" s="290"/>
      <c r="BJ6" s="562" t="s">
        <v>851</v>
      </c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7"/>
      <c r="CA6" s="517" t="str">
        <f>BM10</f>
        <v>遠池</v>
      </c>
      <c r="CB6" s="518"/>
      <c r="CC6" s="518"/>
      <c r="CD6" s="518"/>
      <c r="CE6" s="518"/>
      <c r="CF6" s="518"/>
      <c r="CG6" s="518"/>
      <c r="CH6" s="568"/>
      <c r="CI6" s="345" t="str">
        <f>BM14</f>
        <v>成宮</v>
      </c>
      <c r="CJ6" s="426"/>
      <c r="CK6" s="426"/>
      <c r="CL6" s="426"/>
      <c r="CM6" s="426"/>
      <c r="CN6" s="426"/>
      <c r="CO6" s="426"/>
      <c r="CP6" s="426"/>
      <c r="CQ6" s="517" t="str">
        <f>BM18</f>
        <v>柴田</v>
      </c>
      <c r="CR6" s="518"/>
      <c r="CS6" s="518"/>
      <c r="CT6" s="518"/>
      <c r="CU6" s="518"/>
      <c r="CV6" s="518"/>
      <c r="CW6" s="518"/>
      <c r="CX6" s="568"/>
      <c r="CY6" s="517" t="str">
        <f>BM22</f>
        <v>古市</v>
      </c>
      <c r="CZ6" s="518"/>
      <c r="DA6" s="518"/>
      <c r="DB6" s="518"/>
      <c r="DC6" s="518"/>
      <c r="DD6" s="518"/>
      <c r="DE6" s="518"/>
      <c r="DF6" s="519"/>
      <c r="DG6" s="513">
        <f>IF(DG12&lt;&gt;"","取得","")</f>
      </c>
      <c r="DH6" s="55"/>
      <c r="DI6" s="518" t="s">
        <v>834</v>
      </c>
      <c r="DJ6" s="518"/>
      <c r="DK6" s="518"/>
      <c r="DL6" s="518"/>
      <c r="DM6" s="518"/>
      <c r="DN6" s="521"/>
    </row>
    <row r="7" spans="1:118" ht="12" customHeight="1">
      <c r="A7" s="16"/>
      <c r="C7" s="345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7"/>
      <c r="T7" s="345"/>
      <c r="U7" s="426"/>
      <c r="V7" s="426"/>
      <c r="W7" s="426"/>
      <c r="X7" s="426"/>
      <c r="Y7" s="426"/>
      <c r="Z7" s="426"/>
      <c r="AA7" s="427"/>
      <c r="AB7" s="345"/>
      <c r="AC7" s="426"/>
      <c r="AD7" s="426"/>
      <c r="AE7" s="426"/>
      <c r="AF7" s="426"/>
      <c r="AG7" s="426"/>
      <c r="AH7" s="426"/>
      <c r="AI7" s="426"/>
      <c r="AJ7" s="345"/>
      <c r="AK7" s="426"/>
      <c r="AL7" s="426"/>
      <c r="AM7" s="426"/>
      <c r="AN7" s="426"/>
      <c r="AO7" s="426"/>
      <c r="AP7" s="426"/>
      <c r="AQ7" s="427"/>
      <c r="AR7" s="345"/>
      <c r="AS7" s="426"/>
      <c r="AT7" s="426"/>
      <c r="AU7" s="426"/>
      <c r="AV7" s="426"/>
      <c r="AW7" s="426"/>
      <c r="AX7" s="426"/>
      <c r="AY7" s="520"/>
      <c r="AZ7" s="502"/>
      <c r="BB7" s="426"/>
      <c r="BC7" s="426"/>
      <c r="BD7" s="426"/>
      <c r="BE7" s="426"/>
      <c r="BF7" s="426"/>
      <c r="BG7" s="500"/>
      <c r="BH7" s="290"/>
      <c r="BJ7" s="562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7"/>
      <c r="CA7" s="345"/>
      <c r="CB7" s="426"/>
      <c r="CC7" s="426"/>
      <c r="CD7" s="426"/>
      <c r="CE7" s="426"/>
      <c r="CF7" s="426"/>
      <c r="CG7" s="426"/>
      <c r="CH7" s="427"/>
      <c r="CI7" s="345"/>
      <c r="CJ7" s="426"/>
      <c r="CK7" s="426"/>
      <c r="CL7" s="426"/>
      <c r="CM7" s="426"/>
      <c r="CN7" s="426"/>
      <c r="CO7" s="426"/>
      <c r="CP7" s="426"/>
      <c r="CQ7" s="345"/>
      <c r="CR7" s="426"/>
      <c r="CS7" s="426"/>
      <c r="CT7" s="426"/>
      <c r="CU7" s="426"/>
      <c r="CV7" s="426"/>
      <c r="CW7" s="426"/>
      <c r="CX7" s="427"/>
      <c r="CY7" s="345"/>
      <c r="CZ7" s="426"/>
      <c r="DA7" s="426"/>
      <c r="DB7" s="426"/>
      <c r="DC7" s="426"/>
      <c r="DD7" s="426"/>
      <c r="DE7" s="426"/>
      <c r="DF7" s="520"/>
      <c r="DG7" s="502"/>
      <c r="DI7" s="426"/>
      <c r="DJ7" s="426"/>
      <c r="DK7" s="426"/>
      <c r="DL7" s="426"/>
      <c r="DM7" s="426"/>
      <c r="DN7" s="500"/>
    </row>
    <row r="8" spans="1:118" ht="12" customHeight="1">
      <c r="A8" s="16"/>
      <c r="C8" s="345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7"/>
      <c r="T8" s="345" t="str">
        <f>O10</f>
        <v>土肥</v>
      </c>
      <c r="U8" s="426"/>
      <c r="V8" s="426"/>
      <c r="W8" s="426"/>
      <c r="X8" s="426"/>
      <c r="Y8" s="426"/>
      <c r="Z8" s="426"/>
      <c r="AA8" s="427"/>
      <c r="AB8" s="345" t="str">
        <f>O14</f>
        <v>田中</v>
      </c>
      <c r="AC8" s="426"/>
      <c r="AD8" s="426"/>
      <c r="AE8" s="426"/>
      <c r="AF8" s="426"/>
      <c r="AG8" s="426"/>
      <c r="AH8" s="426"/>
      <c r="AI8" s="426"/>
      <c r="AJ8" s="345" t="str">
        <f>O18</f>
        <v>佐竹</v>
      </c>
      <c r="AK8" s="426"/>
      <c r="AL8" s="426"/>
      <c r="AM8" s="426"/>
      <c r="AN8" s="426"/>
      <c r="AO8" s="426"/>
      <c r="AP8" s="426"/>
      <c r="AQ8" s="427"/>
      <c r="AR8" s="426" t="str">
        <f>O22</f>
        <v>岩崎</v>
      </c>
      <c r="AS8" s="426"/>
      <c r="AT8" s="426"/>
      <c r="AU8" s="426"/>
      <c r="AV8" s="426"/>
      <c r="AW8" s="426"/>
      <c r="AX8" s="426"/>
      <c r="AY8" s="520"/>
      <c r="AZ8" s="502">
        <f>IF(AZ12&lt;&gt;"","ゲーム率","")</f>
      </c>
      <c r="BA8" s="426"/>
      <c r="BB8" s="426" t="s">
        <v>835</v>
      </c>
      <c r="BC8" s="426"/>
      <c r="BD8" s="426"/>
      <c r="BE8" s="426"/>
      <c r="BF8" s="426"/>
      <c r="BG8" s="500"/>
      <c r="BH8" s="290"/>
      <c r="BJ8" s="562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7"/>
      <c r="CA8" s="345" t="str">
        <f>BV10</f>
        <v>池尻</v>
      </c>
      <c r="CB8" s="426"/>
      <c r="CC8" s="426"/>
      <c r="CD8" s="426"/>
      <c r="CE8" s="426"/>
      <c r="CF8" s="426"/>
      <c r="CG8" s="426"/>
      <c r="CH8" s="427"/>
      <c r="CI8" s="345" t="str">
        <f>BV14</f>
        <v>筒井</v>
      </c>
      <c r="CJ8" s="426"/>
      <c r="CK8" s="426"/>
      <c r="CL8" s="426"/>
      <c r="CM8" s="426"/>
      <c r="CN8" s="426"/>
      <c r="CO8" s="426"/>
      <c r="CP8" s="426"/>
      <c r="CQ8" s="345" t="str">
        <f>BV18</f>
        <v>浅田</v>
      </c>
      <c r="CR8" s="426"/>
      <c r="CS8" s="426"/>
      <c r="CT8" s="426"/>
      <c r="CU8" s="426"/>
      <c r="CV8" s="426"/>
      <c r="CW8" s="426"/>
      <c r="CX8" s="427"/>
      <c r="CY8" s="426" t="str">
        <f>BV22</f>
        <v>布藤</v>
      </c>
      <c r="CZ8" s="426"/>
      <c r="DA8" s="426"/>
      <c r="DB8" s="426"/>
      <c r="DC8" s="426"/>
      <c r="DD8" s="426"/>
      <c r="DE8" s="426"/>
      <c r="DF8" s="520"/>
      <c r="DG8" s="502">
        <f>IF(DG12&lt;&gt;"","ゲーム率","")</f>
      </c>
      <c r="DH8" s="426"/>
      <c r="DI8" s="426" t="s">
        <v>835</v>
      </c>
      <c r="DJ8" s="426"/>
      <c r="DK8" s="426"/>
      <c r="DL8" s="426"/>
      <c r="DM8" s="426"/>
      <c r="DN8" s="500"/>
    </row>
    <row r="9" spans="1:118" ht="12" customHeight="1">
      <c r="A9" s="16"/>
      <c r="C9" s="537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538"/>
      <c r="T9" s="537"/>
      <c r="U9" s="499"/>
      <c r="V9" s="499"/>
      <c r="W9" s="499"/>
      <c r="X9" s="499"/>
      <c r="Y9" s="499"/>
      <c r="Z9" s="499"/>
      <c r="AA9" s="538"/>
      <c r="AB9" s="537"/>
      <c r="AC9" s="499"/>
      <c r="AD9" s="499"/>
      <c r="AE9" s="499"/>
      <c r="AF9" s="499"/>
      <c r="AG9" s="499"/>
      <c r="AH9" s="499"/>
      <c r="AI9" s="499"/>
      <c r="AJ9" s="537"/>
      <c r="AK9" s="499"/>
      <c r="AL9" s="499"/>
      <c r="AM9" s="499"/>
      <c r="AN9" s="499"/>
      <c r="AO9" s="499"/>
      <c r="AP9" s="499"/>
      <c r="AQ9" s="538"/>
      <c r="AR9" s="499"/>
      <c r="AS9" s="499"/>
      <c r="AT9" s="499"/>
      <c r="AU9" s="499"/>
      <c r="AV9" s="499"/>
      <c r="AW9" s="499"/>
      <c r="AX9" s="499"/>
      <c r="AY9" s="599"/>
      <c r="AZ9" s="503"/>
      <c r="BA9" s="499"/>
      <c r="BB9" s="499"/>
      <c r="BC9" s="499"/>
      <c r="BD9" s="499"/>
      <c r="BE9" s="499"/>
      <c r="BF9" s="499"/>
      <c r="BG9" s="501"/>
      <c r="BH9" s="290"/>
      <c r="BJ9" s="600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538"/>
      <c r="CA9" s="537"/>
      <c r="CB9" s="499"/>
      <c r="CC9" s="499"/>
      <c r="CD9" s="499"/>
      <c r="CE9" s="499"/>
      <c r="CF9" s="499"/>
      <c r="CG9" s="499"/>
      <c r="CH9" s="538"/>
      <c r="CI9" s="537"/>
      <c r="CJ9" s="499"/>
      <c r="CK9" s="499"/>
      <c r="CL9" s="499"/>
      <c r="CM9" s="499"/>
      <c r="CN9" s="499"/>
      <c r="CO9" s="499"/>
      <c r="CP9" s="499"/>
      <c r="CQ9" s="537"/>
      <c r="CR9" s="499"/>
      <c r="CS9" s="499"/>
      <c r="CT9" s="499"/>
      <c r="CU9" s="499"/>
      <c r="CV9" s="499"/>
      <c r="CW9" s="499"/>
      <c r="CX9" s="538"/>
      <c r="CY9" s="499"/>
      <c r="CZ9" s="499"/>
      <c r="DA9" s="499"/>
      <c r="DB9" s="499"/>
      <c r="DC9" s="499"/>
      <c r="DD9" s="499"/>
      <c r="DE9" s="499"/>
      <c r="DF9" s="599"/>
      <c r="DG9" s="503"/>
      <c r="DH9" s="499"/>
      <c r="DI9" s="499"/>
      <c r="DJ9" s="499"/>
      <c r="DK9" s="499"/>
      <c r="DL9" s="499"/>
      <c r="DM9" s="499"/>
      <c r="DN9" s="501"/>
    </row>
    <row r="10" spans="1:118" s="2" customFormat="1" ht="12" customHeight="1">
      <c r="A10" s="74"/>
      <c r="B10" s="593">
        <f>BD12</f>
        <v>2</v>
      </c>
      <c r="C10" s="563" t="s">
        <v>1662</v>
      </c>
      <c r="D10" s="424"/>
      <c r="E10" s="424"/>
      <c r="F10" s="358" t="str">
        <f>IF(C10="ここに","",VLOOKUP(C10,'登録ナンバー'!$A$1:$C$620,2,0))</f>
        <v>池端</v>
      </c>
      <c r="G10" s="359"/>
      <c r="H10" s="359"/>
      <c r="I10" s="359"/>
      <c r="J10" s="359"/>
      <c r="K10" s="359" t="s">
        <v>837</v>
      </c>
      <c r="L10" s="359" t="s">
        <v>1663</v>
      </c>
      <c r="M10" s="359"/>
      <c r="N10" s="359"/>
      <c r="O10" s="359" t="str">
        <f>IF(L10="ここに","",VLOOKUP(L10,'登録ナンバー'!$A$1:$C$620,2,0))</f>
        <v>土肥</v>
      </c>
      <c r="P10" s="359"/>
      <c r="Q10" s="359"/>
      <c r="R10" s="359"/>
      <c r="S10" s="364"/>
      <c r="T10" s="579">
        <f>IF(AB10="","丸付き数字は試合順番","")</f>
      </c>
      <c r="U10" s="580"/>
      <c r="V10" s="580"/>
      <c r="W10" s="580"/>
      <c r="X10" s="580"/>
      <c r="Y10" s="580"/>
      <c r="Z10" s="580"/>
      <c r="AA10" s="581"/>
      <c r="AB10" s="346">
        <v>1</v>
      </c>
      <c r="AC10" s="347"/>
      <c r="AD10" s="347"/>
      <c r="AE10" s="347" t="s">
        <v>838</v>
      </c>
      <c r="AF10" s="347">
        <v>6</v>
      </c>
      <c r="AG10" s="347"/>
      <c r="AH10" s="347"/>
      <c r="AI10" s="560"/>
      <c r="AJ10" s="346" t="s">
        <v>1832</v>
      </c>
      <c r="AK10" s="347"/>
      <c r="AL10" s="347"/>
      <c r="AM10" s="347" t="s">
        <v>838</v>
      </c>
      <c r="AN10" s="359">
        <v>3</v>
      </c>
      <c r="AO10" s="359"/>
      <c r="AP10" s="359"/>
      <c r="AQ10" s="364"/>
      <c r="AR10" s="346" t="s">
        <v>1832</v>
      </c>
      <c r="AS10" s="347"/>
      <c r="AT10" s="347" t="s">
        <v>838</v>
      </c>
      <c r="AU10" s="347">
        <v>1</v>
      </c>
      <c r="AV10" s="347"/>
      <c r="AW10" s="347"/>
      <c r="AX10" s="347"/>
      <c r="AY10" s="338"/>
      <c r="AZ10" s="460">
        <f>IF(COUNTIF(BA10:BC23,1)=2,"直接対決","")</f>
      </c>
      <c r="BA10" s="468">
        <f>COUNTIF(T10:AY11,"⑥")+COUNTIF(T10:AY11,"⑦")</f>
        <v>2</v>
      </c>
      <c r="BB10" s="468"/>
      <c r="BC10" s="468"/>
      <c r="BD10" s="470">
        <f>IF(AB10="","",3-BA10)</f>
        <v>1</v>
      </c>
      <c r="BE10" s="470"/>
      <c r="BF10" s="470"/>
      <c r="BG10" s="471"/>
      <c r="BH10" s="75"/>
      <c r="BI10" s="593">
        <f>DK12</f>
        <v>1</v>
      </c>
      <c r="BJ10" s="529" t="s">
        <v>1665</v>
      </c>
      <c r="BK10" s="350"/>
      <c r="BL10" s="350"/>
      <c r="BM10" s="535" t="str">
        <f>IF(BJ10="ここに","",VLOOKUP(BJ10,'登録ナンバー'!$A$1:$C$620,2,0))</f>
        <v>遠池</v>
      </c>
      <c r="BN10" s="535"/>
      <c r="BO10" s="535"/>
      <c r="BP10" s="535"/>
      <c r="BQ10" s="535"/>
      <c r="BR10" s="533" t="s">
        <v>837</v>
      </c>
      <c r="BS10" s="535" t="s">
        <v>1666</v>
      </c>
      <c r="BT10" s="535"/>
      <c r="BU10" s="535"/>
      <c r="BV10" s="535" t="str">
        <f>IF(BS10="ここに","",VLOOKUP(BS10,'登録ナンバー'!$A$1:$C$620,2,0))</f>
        <v>池尻</v>
      </c>
      <c r="BW10" s="535"/>
      <c r="BX10" s="535"/>
      <c r="BY10" s="535"/>
      <c r="BZ10" s="535"/>
      <c r="CA10" s="550">
        <f>IF(CI10="","丸付き数字は試合順番","")</f>
      </c>
      <c r="CB10" s="551"/>
      <c r="CC10" s="551"/>
      <c r="CD10" s="551"/>
      <c r="CE10" s="551"/>
      <c r="CF10" s="551"/>
      <c r="CG10" s="551"/>
      <c r="CH10" s="552"/>
      <c r="CI10" s="340" t="s">
        <v>1832</v>
      </c>
      <c r="CJ10" s="430"/>
      <c r="CK10" s="430"/>
      <c r="CL10" s="430" t="s">
        <v>838</v>
      </c>
      <c r="CM10" s="430">
        <v>0</v>
      </c>
      <c r="CN10" s="430"/>
      <c r="CO10" s="430"/>
      <c r="CP10" s="508"/>
      <c r="CQ10" s="340" t="s">
        <v>1832</v>
      </c>
      <c r="CR10" s="430"/>
      <c r="CS10" s="430"/>
      <c r="CT10" s="430" t="s">
        <v>838</v>
      </c>
      <c r="CU10" s="368">
        <v>1</v>
      </c>
      <c r="CV10" s="368"/>
      <c r="CW10" s="368"/>
      <c r="CX10" s="355"/>
      <c r="CY10" s="384" t="s">
        <v>237</v>
      </c>
      <c r="CZ10" s="368"/>
      <c r="DA10" s="368"/>
      <c r="DB10" s="368" t="s">
        <v>838</v>
      </c>
      <c r="DC10" s="368" t="s">
        <v>1828</v>
      </c>
      <c r="DD10" s="368"/>
      <c r="DE10" s="368"/>
      <c r="DF10" s="355"/>
      <c r="DG10" s="510">
        <f>IF(COUNTIF(DH10:DJ23,1)=2,"直接対決","")</f>
      </c>
      <c r="DH10" s="506">
        <f>COUNTIF(CA10:DF11,"⑥")+COUNTIF(CA10:DF11,"⑦")</f>
        <v>2</v>
      </c>
      <c r="DI10" s="506"/>
      <c r="DJ10" s="506"/>
      <c r="DK10" s="489">
        <f>IF(CI10="","",2-DH10)</f>
        <v>0</v>
      </c>
      <c r="DL10" s="489"/>
      <c r="DM10" s="489"/>
      <c r="DN10" s="490"/>
    </row>
    <row r="11" spans="1:118" s="2" customFormat="1" ht="12" customHeight="1">
      <c r="A11" s="74"/>
      <c r="B11" s="593"/>
      <c r="C11" s="562"/>
      <c r="D11" s="426"/>
      <c r="E11" s="426"/>
      <c r="F11" s="360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5"/>
      <c r="T11" s="582"/>
      <c r="U11" s="583"/>
      <c r="V11" s="583"/>
      <c r="W11" s="583"/>
      <c r="X11" s="583"/>
      <c r="Y11" s="583"/>
      <c r="Z11" s="583"/>
      <c r="AA11" s="584"/>
      <c r="AB11" s="336"/>
      <c r="AC11" s="337"/>
      <c r="AD11" s="337"/>
      <c r="AE11" s="337"/>
      <c r="AF11" s="337"/>
      <c r="AG11" s="337"/>
      <c r="AH11" s="337"/>
      <c r="AI11" s="561"/>
      <c r="AJ11" s="336"/>
      <c r="AK11" s="337"/>
      <c r="AL11" s="337"/>
      <c r="AM11" s="337"/>
      <c r="AN11" s="361"/>
      <c r="AO11" s="361"/>
      <c r="AP11" s="361"/>
      <c r="AQ11" s="365"/>
      <c r="AR11" s="336"/>
      <c r="AS11" s="337"/>
      <c r="AT11" s="337"/>
      <c r="AU11" s="337"/>
      <c r="AV11" s="337"/>
      <c r="AW11" s="337"/>
      <c r="AX11" s="337"/>
      <c r="AY11" s="339"/>
      <c r="AZ11" s="461"/>
      <c r="BA11" s="469"/>
      <c r="BB11" s="469"/>
      <c r="BC11" s="469"/>
      <c r="BD11" s="472"/>
      <c r="BE11" s="472"/>
      <c r="BF11" s="472"/>
      <c r="BG11" s="473"/>
      <c r="BH11" s="75"/>
      <c r="BI11" s="593"/>
      <c r="BJ11" s="530"/>
      <c r="BK11" s="342"/>
      <c r="BL11" s="342"/>
      <c r="BM11" s="536"/>
      <c r="BN11" s="536"/>
      <c r="BO11" s="536"/>
      <c r="BP11" s="536"/>
      <c r="BQ11" s="536"/>
      <c r="BR11" s="533"/>
      <c r="BS11" s="536"/>
      <c r="BT11" s="536"/>
      <c r="BU11" s="536"/>
      <c r="BV11" s="536"/>
      <c r="BW11" s="536"/>
      <c r="BX11" s="536"/>
      <c r="BY11" s="536"/>
      <c r="BZ11" s="536"/>
      <c r="CA11" s="553"/>
      <c r="CB11" s="554"/>
      <c r="CC11" s="554"/>
      <c r="CD11" s="554"/>
      <c r="CE11" s="554"/>
      <c r="CF11" s="554"/>
      <c r="CG11" s="554"/>
      <c r="CH11" s="555"/>
      <c r="CI11" s="431"/>
      <c r="CJ11" s="432"/>
      <c r="CK11" s="432"/>
      <c r="CL11" s="432"/>
      <c r="CM11" s="432"/>
      <c r="CN11" s="432"/>
      <c r="CO11" s="432"/>
      <c r="CP11" s="509"/>
      <c r="CQ11" s="431"/>
      <c r="CR11" s="432"/>
      <c r="CS11" s="432"/>
      <c r="CT11" s="432"/>
      <c r="CU11" s="383"/>
      <c r="CV11" s="383"/>
      <c r="CW11" s="383"/>
      <c r="CX11" s="356"/>
      <c r="CY11" s="369"/>
      <c r="CZ11" s="383"/>
      <c r="DA11" s="383"/>
      <c r="DB11" s="383"/>
      <c r="DC11" s="383"/>
      <c r="DD11" s="383"/>
      <c r="DE11" s="383"/>
      <c r="DF11" s="356"/>
      <c r="DG11" s="511"/>
      <c r="DH11" s="507"/>
      <c r="DI11" s="507"/>
      <c r="DJ11" s="507"/>
      <c r="DK11" s="491"/>
      <c r="DL11" s="491"/>
      <c r="DM11" s="491"/>
      <c r="DN11" s="492"/>
    </row>
    <row r="12" spans="1:118" ht="16.5" customHeight="1" thickBot="1">
      <c r="A12" s="16"/>
      <c r="C12" s="562" t="s">
        <v>841</v>
      </c>
      <c r="D12" s="426"/>
      <c r="E12" s="426"/>
      <c r="F12" s="360" t="str">
        <f>IF(C10="ここに","",VLOOKUP(C10,'登録ナンバー'!$A$1:$D$620,4,0))</f>
        <v>ぼんズ</v>
      </c>
      <c r="G12" s="361"/>
      <c r="H12" s="361"/>
      <c r="I12" s="361"/>
      <c r="J12" s="361"/>
      <c r="K12" s="335"/>
      <c r="L12" s="361" t="s">
        <v>841</v>
      </c>
      <c r="M12" s="361"/>
      <c r="N12" s="361"/>
      <c r="O12" s="361" t="str">
        <f>IF(L10="ここに","",VLOOKUP(L10,'登録ナンバー'!$A$1:$D$620,4,0))</f>
        <v>フレンズ</v>
      </c>
      <c r="P12" s="361"/>
      <c r="Q12" s="361"/>
      <c r="R12" s="361"/>
      <c r="S12" s="365"/>
      <c r="T12" s="582"/>
      <c r="U12" s="583"/>
      <c r="V12" s="583"/>
      <c r="W12" s="583"/>
      <c r="X12" s="583"/>
      <c r="Y12" s="583"/>
      <c r="Z12" s="583"/>
      <c r="AA12" s="584"/>
      <c r="AB12" s="336"/>
      <c r="AC12" s="337"/>
      <c r="AD12" s="337"/>
      <c r="AE12" s="337"/>
      <c r="AF12" s="337"/>
      <c r="AG12" s="337"/>
      <c r="AH12" s="337"/>
      <c r="AI12" s="561"/>
      <c r="AJ12" s="336"/>
      <c r="AK12" s="337"/>
      <c r="AL12" s="337"/>
      <c r="AM12" s="337"/>
      <c r="AN12" s="361"/>
      <c r="AO12" s="361"/>
      <c r="AP12" s="361"/>
      <c r="AQ12" s="365"/>
      <c r="AR12" s="336"/>
      <c r="AS12" s="337"/>
      <c r="AT12" s="337"/>
      <c r="AU12" s="337"/>
      <c r="AV12" s="337"/>
      <c r="AW12" s="337"/>
      <c r="AX12" s="337"/>
      <c r="AY12" s="339"/>
      <c r="AZ12" s="442">
        <f>IF(OR(COUNTIF(BA10:BC23,2)=3,COUNTIF(BA10:BC23,1)=3),(AB13+AJ13+AR13)/(AB13+AJ13+AF10+AN10+AW10+AR13),"")</f>
      </c>
      <c r="BA12" s="462"/>
      <c r="BB12" s="462"/>
      <c r="BC12" s="462"/>
      <c r="BD12" s="464">
        <f>IF(AZ12&lt;&gt;"",RANK(AZ12,AZ12:AZ25),RANK(BA10,BA10:BC23))</f>
        <v>2</v>
      </c>
      <c r="BE12" s="464"/>
      <c r="BF12" s="464"/>
      <c r="BG12" s="465"/>
      <c r="BH12" s="62"/>
      <c r="BJ12" s="530" t="s">
        <v>841</v>
      </c>
      <c r="BK12" s="342"/>
      <c r="BL12" s="342"/>
      <c r="BM12" s="611" t="str">
        <f>IF(BJ10="ここに","",VLOOKUP(BJ10,'登録ナンバー'!$A$1:$D$620,4,0))</f>
        <v>グリフィンズ</v>
      </c>
      <c r="BN12" s="536"/>
      <c r="BO12" s="536"/>
      <c r="BP12" s="536"/>
      <c r="BQ12" s="536"/>
      <c r="BR12" s="378"/>
      <c r="BS12" s="533" t="s">
        <v>841</v>
      </c>
      <c r="BT12" s="533"/>
      <c r="BU12" s="533"/>
      <c r="BV12" s="536" t="str">
        <f>IF(BS10="ここに","",VLOOKUP(BS10,'登録ナンバー'!$A$1:$D$620,4,0))</f>
        <v>Kテニス</v>
      </c>
      <c r="BW12" s="536"/>
      <c r="BX12" s="536"/>
      <c r="BY12" s="536"/>
      <c r="BZ12" s="612"/>
      <c r="CA12" s="553"/>
      <c r="CB12" s="554"/>
      <c r="CC12" s="554"/>
      <c r="CD12" s="554"/>
      <c r="CE12" s="554"/>
      <c r="CF12" s="554"/>
      <c r="CG12" s="554"/>
      <c r="CH12" s="555"/>
      <c r="CI12" s="431"/>
      <c r="CJ12" s="432"/>
      <c r="CK12" s="432"/>
      <c r="CL12" s="432"/>
      <c r="CM12" s="432"/>
      <c r="CN12" s="432"/>
      <c r="CO12" s="432"/>
      <c r="CP12" s="509"/>
      <c r="CQ12" s="431"/>
      <c r="CR12" s="432"/>
      <c r="CS12" s="432"/>
      <c r="CT12" s="432"/>
      <c r="CU12" s="383"/>
      <c r="CV12" s="383"/>
      <c r="CW12" s="383"/>
      <c r="CX12" s="356"/>
      <c r="CY12" s="353"/>
      <c r="CZ12" s="354"/>
      <c r="DA12" s="354"/>
      <c r="DB12" s="383"/>
      <c r="DC12" s="354"/>
      <c r="DD12" s="354"/>
      <c r="DE12" s="354"/>
      <c r="DF12" s="357"/>
      <c r="DG12" s="485">
        <f>IF(OR(COUNTIF(DH10:DJ23,2)=3,COUNTIF(DH10:DJ23,1)=3),(CI13+CQ13+CY13)/(CI13+CQ13+CM10+CU10+DD10+CY13),"")</f>
      </c>
      <c r="DH12" s="504"/>
      <c r="DI12" s="504"/>
      <c r="DJ12" s="504"/>
      <c r="DK12" s="493">
        <f>IF(DG12&lt;&gt;"",RANK(DG12,DG12:DG25),RANK(DH10,DH10:DJ23))</f>
        <v>1</v>
      </c>
      <c r="DL12" s="493"/>
      <c r="DM12" s="493"/>
      <c r="DN12" s="494"/>
    </row>
    <row r="13" spans="1:118" ht="6" customHeight="1" hidden="1">
      <c r="A13" s="16"/>
      <c r="C13" s="562"/>
      <c r="D13" s="426"/>
      <c r="E13" s="426"/>
      <c r="F13" s="335"/>
      <c r="G13" s="335"/>
      <c r="H13" s="335"/>
      <c r="I13" s="335"/>
      <c r="J13" s="335"/>
      <c r="K13" s="335"/>
      <c r="L13" s="578"/>
      <c r="M13" s="361"/>
      <c r="N13" s="361"/>
      <c r="O13" s="335"/>
      <c r="P13" s="335"/>
      <c r="Q13" s="335"/>
      <c r="R13" s="391"/>
      <c r="S13" s="392"/>
      <c r="T13" s="585"/>
      <c r="U13" s="586"/>
      <c r="V13" s="586"/>
      <c r="W13" s="586"/>
      <c r="X13" s="586"/>
      <c r="Y13" s="586"/>
      <c r="Z13" s="586"/>
      <c r="AA13" s="587"/>
      <c r="AB13" s="388">
        <f>IF(AB10="⑦","7",IF(AB10="⑥","6",AB10))</f>
        <v>1</v>
      </c>
      <c r="AC13" s="393"/>
      <c r="AD13" s="393"/>
      <c r="AE13" s="393"/>
      <c r="AF13" s="393"/>
      <c r="AG13" s="393"/>
      <c r="AH13" s="393"/>
      <c r="AI13" s="394"/>
      <c r="AJ13" s="388" t="str">
        <f>IF(AJ10="⑦","7",IF(AJ10="⑥","6",AJ10))</f>
        <v>6</v>
      </c>
      <c r="AK13" s="393"/>
      <c r="AL13" s="393"/>
      <c r="AM13" s="393"/>
      <c r="AN13" s="393"/>
      <c r="AO13" s="393"/>
      <c r="AP13" s="393"/>
      <c r="AQ13" s="394"/>
      <c r="AR13" s="393" t="str">
        <f>IF(AR10="⑦","7",IF(AR10="⑥","6",AR10))</f>
        <v>6</v>
      </c>
      <c r="AS13" s="393"/>
      <c r="AT13" s="393"/>
      <c r="AU13" s="401"/>
      <c r="AV13" s="335"/>
      <c r="AW13" s="401"/>
      <c r="AX13" s="401"/>
      <c r="AY13" s="402"/>
      <c r="AZ13" s="525"/>
      <c r="BA13" s="610"/>
      <c r="BB13" s="610"/>
      <c r="BC13" s="610"/>
      <c r="BD13" s="526"/>
      <c r="BE13" s="526"/>
      <c r="BF13" s="526"/>
      <c r="BG13" s="527"/>
      <c r="BH13" s="62"/>
      <c r="BJ13" s="531"/>
      <c r="BK13" s="532"/>
      <c r="BL13" s="532"/>
      <c r="BM13" s="378"/>
      <c r="BN13" s="378"/>
      <c r="BO13" s="378"/>
      <c r="BP13" s="378"/>
      <c r="BQ13" s="379"/>
      <c r="BR13" s="378"/>
      <c r="BS13" s="534"/>
      <c r="BT13" s="534"/>
      <c r="BU13" s="534"/>
      <c r="BV13" s="378"/>
      <c r="BW13" s="378"/>
      <c r="BX13" s="378"/>
      <c r="BY13" s="380"/>
      <c r="BZ13" s="381"/>
      <c r="CA13" s="556"/>
      <c r="CB13" s="557"/>
      <c r="CC13" s="557"/>
      <c r="CD13" s="557"/>
      <c r="CE13" s="557"/>
      <c r="CF13" s="557"/>
      <c r="CG13" s="557"/>
      <c r="CH13" s="558"/>
      <c r="CI13" s="373" t="str">
        <f>IF(CI10="⑦","7",IF(CI10="⑥","6",CI10))</f>
        <v>6</v>
      </c>
      <c r="CJ13" s="374"/>
      <c r="CK13" s="374"/>
      <c r="CL13" s="374"/>
      <c r="CM13" s="374"/>
      <c r="CN13" s="374"/>
      <c r="CO13" s="374"/>
      <c r="CP13" s="375"/>
      <c r="CQ13" s="373" t="str">
        <f>IF(CQ10="⑦","7",IF(CQ10="⑥","6",CQ10))</f>
        <v>6</v>
      </c>
      <c r="CR13" s="374"/>
      <c r="CS13" s="374"/>
      <c r="CT13" s="374"/>
      <c r="CU13" s="374"/>
      <c r="CV13" s="374"/>
      <c r="CW13" s="374"/>
      <c r="CX13" s="375"/>
      <c r="CY13" s="374" t="str">
        <f>IF(CY10="⑦","7",IF(CY10="⑥","6",CY10))</f>
        <v>N</v>
      </c>
      <c r="CZ13" s="374"/>
      <c r="DA13" s="374"/>
      <c r="DB13" s="376"/>
      <c r="DC13" s="334"/>
      <c r="DD13" s="376"/>
      <c r="DE13" s="376"/>
      <c r="DF13" s="377"/>
      <c r="DG13" s="486"/>
      <c r="DH13" s="505"/>
      <c r="DI13" s="505"/>
      <c r="DJ13" s="505"/>
      <c r="DK13" s="495"/>
      <c r="DL13" s="495"/>
      <c r="DM13" s="495"/>
      <c r="DN13" s="496"/>
    </row>
    <row r="14" spans="1:118" ht="12" customHeight="1">
      <c r="A14" s="16"/>
      <c r="B14" s="593">
        <f>BD16</f>
        <v>1</v>
      </c>
      <c r="C14" s="563" t="s">
        <v>1669</v>
      </c>
      <c r="D14" s="424"/>
      <c r="E14" s="424"/>
      <c r="F14" s="384" t="str">
        <f>IF(C14="ここに","",VLOOKUP(C14,'登録ナンバー'!$A$1:$C$620,2,0))</f>
        <v>川並</v>
      </c>
      <c r="G14" s="368"/>
      <c r="H14" s="368"/>
      <c r="I14" s="368"/>
      <c r="J14" s="368"/>
      <c r="K14" s="368" t="s">
        <v>837</v>
      </c>
      <c r="L14" s="368" t="s">
        <v>1670</v>
      </c>
      <c r="M14" s="368"/>
      <c r="N14" s="368"/>
      <c r="O14" s="368" t="str">
        <f>IF(L14="ここに","",VLOOKUP(L14,'登録ナンバー'!$A$1:$C$620,2,0))</f>
        <v>田中</v>
      </c>
      <c r="P14" s="368"/>
      <c r="Q14" s="368"/>
      <c r="R14" s="368"/>
      <c r="S14" s="355"/>
      <c r="T14" s="384" t="str">
        <f>IF(AB10="","",IF(AND(AF10=6,AB10&lt;&gt;"⑦"),"⑥",IF(AF10=7,"⑦",AF10)))</f>
        <v>⑥</v>
      </c>
      <c r="U14" s="368"/>
      <c r="V14" s="368"/>
      <c r="W14" s="368" t="s">
        <v>838</v>
      </c>
      <c r="X14" s="368">
        <f>IF(AB10="","",IF(AB10="⑥",6,IF(AB10="⑦",7,AB10)))</f>
        <v>1</v>
      </c>
      <c r="Y14" s="368"/>
      <c r="Z14" s="368"/>
      <c r="AA14" s="355"/>
      <c r="AB14" s="569"/>
      <c r="AC14" s="570"/>
      <c r="AD14" s="570"/>
      <c r="AE14" s="570"/>
      <c r="AF14" s="570"/>
      <c r="AG14" s="570"/>
      <c r="AH14" s="570"/>
      <c r="AI14" s="571"/>
      <c r="AJ14" s="340" t="s">
        <v>1832</v>
      </c>
      <c r="AK14" s="430"/>
      <c r="AL14" s="430"/>
      <c r="AM14" s="430" t="s">
        <v>838</v>
      </c>
      <c r="AN14" s="368">
        <v>2</v>
      </c>
      <c r="AO14" s="368"/>
      <c r="AP14" s="368"/>
      <c r="AQ14" s="355"/>
      <c r="AR14" s="340" t="s">
        <v>1832</v>
      </c>
      <c r="AS14" s="430"/>
      <c r="AT14" s="430" t="s">
        <v>838</v>
      </c>
      <c r="AU14" s="430">
        <v>0</v>
      </c>
      <c r="AV14" s="430"/>
      <c r="AW14" s="430"/>
      <c r="AX14" s="430"/>
      <c r="AY14" s="433"/>
      <c r="AZ14" s="510">
        <f>IF(COUNTIF(BA10:BC25,1)=2,"直接対決","")</f>
      </c>
      <c r="BA14" s="506">
        <f>COUNTIF(T14:AY15,"⑥")+COUNTIF(T14:AY15,"⑦")</f>
        <v>3</v>
      </c>
      <c r="BB14" s="506"/>
      <c r="BC14" s="506"/>
      <c r="BD14" s="489">
        <f>IF(AB10="","",3-BA14)</f>
        <v>0</v>
      </c>
      <c r="BE14" s="489"/>
      <c r="BF14" s="489"/>
      <c r="BG14" s="490"/>
      <c r="BH14" s="75"/>
      <c r="BI14" s="593">
        <f>DK16</f>
        <v>2</v>
      </c>
      <c r="BJ14" s="529" t="s">
        <v>1674</v>
      </c>
      <c r="BK14" s="350"/>
      <c r="BL14" s="350"/>
      <c r="BM14" s="438" t="str">
        <f>IF(BJ14="ここに","",VLOOKUP(BJ14,'登録ナンバー'!$A$1:$C$620,2,0))</f>
        <v>成宮</v>
      </c>
      <c r="BN14" s="438"/>
      <c r="BO14" s="438"/>
      <c r="BP14" s="438"/>
      <c r="BQ14" s="438"/>
      <c r="BR14" s="539" t="s">
        <v>837</v>
      </c>
      <c r="BS14" s="438" t="s">
        <v>1833</v>
      </c>
      <c r="BT14" s="438"/>
      <c r="BU14" s="438"/>
      <c r="BV14" s="438" t="str">
        <f>IF(BS14="ここに","",VLOOKUP(BS14,'登録ナンバー'!$A$1:$C$620,2,0))</f>
        <v>筒井</v>
      </c>
      <c r="BW14" s="438"/>
      <c r="BX14" s="438"/>
      <c r="BY14" s="438"/>
      <c r="BZ14" s="439"/>
      <c r="CA14" s="358">
        <f>IF(CI10="","",IF(AND(CM10=6,CI10&lt;&gt;"⑦"),"⑥",IF(CM10=7,"⑦",CM10)))</f>
        <v>0</v>
      </c>
      <c r="CB14" s="359"/>
      <c r="CC14" s="359"/>
      <c r="CD14" s="359" t="s">
        <v>838</v>
      </c>
      <c r="CE14" s="359">
        <f>IF(CI10="","",IF(CI10="⑥",6,IF(CI10="⑦",7,CI10)))</f>
        <v>6</v>
      </c>
      <c r="CF14" s="359"/>
      <c r="CG14" s="359"/>
      <c r="CH14" s="364"/>
      <c r="CI14" s="541"/>
      <c r="CJ14" s="542"/>
      <c r="CK14" s="542"/>
      <c r="CL14" s="542"/>
      <c r="CM14" s="542"/>
      <c r="CN14" s="542"/>
      <c r="CO14" s="542"/>
      <c r="CP14" s="543"/>
      <c r="CQ14" s="346" t="s">
        <v>1830</v>
      </c>
      <c r="CR14" s="347"/>
      <c r="CS14" s="347"/>
      <c r="CT14" s="347" t="s">
        <v>838</v>
      </c>
      <c r="CU14" s="359">
        <v>1</v>
      </c>
      <c r="CV14" s="359"/>
      <c r="CW14" s="359"/>
      <c r="CX14" s="364"/>
      <c r="CY14" s="358" t="s">
        <v>1834</v>
      </c>
      <c r="CZ14" s="359"/>
      <c r="DA14" s="359"/>
      <c r="DB14" s="359" t="s">
        <v>838</v>
      </c>
      <c r="DC14" s="359" t="s">
        <v>1835</v>
      </c>
      <c r="DD14" s="359"/>
      <c r="DE14" s="359"/>
      <c r="DF14" s="364"/>
      <c r="DG14" s="460">
        <f>IF(COUNTIF(DH10:DJ25,1)=2,"直接対決","")</f>
      </c>
      <c r="DH14" s="468">
        <f>COUNTIF(CA14:DF15,"⑥")+COUNTIF(CA14:DF15,"⑦")</f>
        <v>1</v>
      </c>
      <c r="DI14" s="468"/>
      <c r="DJ14" s="468"/>
      <c r="DK14" s="470">
        <f>IF(CI10="","",2-DH14)</f>
        <v>1</v>
      </c>
      <c r="DL14" s="470"/>
      <c r="DM14" s="470"/>
      <c r="DN14" s="471"/>
    </row>
    <row r="15" spans="1:118" ht="12" customHeight="1">
      <c r="A15" s="16"/>
      <c r="B15" s="593"/>
      <c r="C15" s="562"/>
      <c r="D15" s="426"/>
      <c r="E15" s="426"/>
      <c r="F15" s="369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56"/>
      <c r="T15" s="369"/>
      <c r="U15" s="383"/>
      <c r="V15" s="383"/>
      <c r="W15" s="383"/>
      <c r="X15" s="383"/>
      <c r="Y15" s="383"/>
      <c r="Z15" s="383"/>
      <c r="AA15" s="356"/>
      <c r="AB15" s="572"/>
      <c r="AC15" s="573"/>
      <c r="AD15" s="573"/>
      <c r="AE15" s="573"/>
      <c r="AF15" s="573"/>
      <c r="AG15" s="573"/>
      <c r="AH15" s="573"/>
      <c r="AI15" s="574"/>
      <c r="AJ15" s="431"/>
      <c r="AK15" s="432"/>
      <c r="AL15" s="432"/>
      <c r="AM15" s="432"/>
      <c r="AN15" s="383"/>
      <c r="AO15" s="383"/>
      <c r="AP15" s="383"/>
      <c r="AQ15" s="356"/>
      <c r="AR15" s="431"/>
      <c r="AS15" s="432"/>
      <c r="AT15" s="432"/>
      <c r="AU15" s="432"/>
      <c r="AV15" s="432"/>
      <c r="AW15" s="432"/>
      <c r="AX15" s="432"/>
      <c r="AY15" s="434"/>
      <c r="AZ15" s="511"/>
      <c r="BA15" s="507"/>
      <c r="BB15" s="507"/>
      <c r="BC15" s="507"/>
      <c r="BD15" s="491"/>
      <c r="BE15" s="491"/>
      <c r="BF15" s="491"/>
      <c r="BG15" s="492"/>
      <c r="BH15" s="75"/>
      <c r="BI15" s="593"/>
      <c r="BJ15" s="530"/>
      <c r="BK15" s="342"/>
      <c r="BL15" s="342"/>
      <c r="BM15" s="440"/>
      <c r="BN15" s="440"/>
      <c r="BO15" s="440"/>
      <c r="BP15" s="440"/>
      <c r="BQ15" s="440"/>
      <c r="BR15" s="539"/>
      <c r="BS15" s="440"/>
      <c r="BT15" s="440"/>
      <c r="BU15" s="440"/>
      <c r="BV15" s="440"/>
      <c r="BW15" s="440"/>
      <c r="BX15" s="440"/>
      <c r="BY15" s="440"/>
      <c r="BZ15" s="441"/>
      <c r="CA15" s="360"/>
      <c r="CB15" s="361"/>
      <c r="CC15" s="361"/>
      <c r="CD15" s="361"/>
      <c r="CE15" s="361"/>
      <c r="CF15" s="361"/>
      <c r="CG15" s="361"/>
      <c r="CH15" s="365"/>
      <c r="CI15" s="544"/>
      <c r="CJ15" s="545"/>
      <c r="CK15" s="545"/>
      <c r="CL15" s="545"/>
      <c r="CM15" s="545"/>
      <c r="CN15" s="545"/>
      <c r="CO15" s="545"/>
      <c r="CP15" s="546"/>
      <c r="CQ15" s="336"/>
      <c r="CR15" s="337"/>
      <c r="CS15" s="337"/>
      <c r="CT15" s="337"/>
      <c r="CU15" s="361"/>
      <c r="CV15" s="361"/>
      <c r="CW15" s="361"/>
      <c r="CX15" s="365"/>
      <c r="CY15" s="360"/>
      <c r="CZ15" s="361"/>
      <c r="DA15" s="361"/>
      <c r="DB15" s="361"/>
      <c r="DC15" s="361"/>
      <c r="DD15" s="361"/>
      <c r="DE15" s="361"/>
      <c r="DF15" s="365"/>
      <c r="DG15" s="461"/>
      <c r="DH15" s="469"/>
      <c r="DI15" s="469"/>
      <c r="DJ15" s="469"/>
      <c r="DK15" s="472"/>
      <c r="DL15" s="472"/>
      <c r="DM15" s="472"/>
      <c r="DN15" s="473"/>
    </row>
    <row r="16" spans="1:118" ht="20.25" customHeight="1" thickBot="1">
      <c r="A16" s="16"/>
      <c r="B16" s="16"/>
      <c r="C16" s="562" t="s">
        <v>841</v>
      </c>
      <c r="D16" s="426"/>
      <c r="E16" s="426"/>
      <c r="F16" s="369" t="str">
        <f>IF(C14="ここに","",VLOOKUP(C14,'登録ナンバー'!$A$1:$D$620,4,0))</f>
        <v>Kテニス</v>
      </c>
      <c r="G16" s="383"/>
      <c r="H16" s="383"/>
      <c r="I16" s="383"/>
      <c r="J16" s="383"/>
      <c r="K16" s="334"/>
      <c r="L16" s="383" t="s">
        <v>841</v>
      </c>
      <c r="M16" s="383"/>
      <c r="N16" s="383"/>
      <c r="O16" s="383" t="str">
        <f>IF(L14="ここに","",VLOOKUP(L14,'登録ナンバー'!$A$1:$D$620,4,0))</f>
        <v>Kテニス</v>
      </c>
      <c r="P16" s="383"/>
      <c r="Q16" s="383"/>
      <c r="R16" s="383"/>
      <c r="S16" s="356"/>
      <c r="T16" s="369"/>
      <c r="U16" s="383"/>
      <c r="V16" s="383"/>
      <c r="W16" s="383"/>
      <c r="X16" s="383"/>
      <c r="Y16" s="383"/>
      <c r="Z16" s="383"/>
      <c r="AA16" s="356"/>
      <c r="AB16" s="572"/>
      <c r="AC16" s="573"/>
      <c r="AD16" s="573"/>
      <c r="AE16" s="573"/>
      <c r="AF16" s="573"/>
      <c r="AG16" s="573"/>
      <c r="AH16" s="573"/>
      <c r="AI16" s="574"/>
      <c r="AJ16" s="431"/>
      <c r="AK16" s="432"/>
      <c r="AL16" s="432"/>
      <c r="AM16" s="432"/>
      <c r="AN16" s="383"/>
      <c r="AO16" s="383"/>
      <c r="AP16" s="383"/>
      <c r="AQ16" s="356"/>
      <c r="AR16" s="431"/>
      <c r="AS16" s="432"/>
      <c r="AT16" s="432"/>
      <c r="AU16" s="432"/>
      <c r="AV16" s="432"/>
      <c r="AW16" s="432"/>
      <c r="AX16" s="432"/>
      <c r="AY16" s="434"/>
      <c r="AZ16" s="485">
        <f>IF(OR(COUNTIF(BA10:BC23,2)=3,COUNTIF(BA10:BC23,1)=3),(T17+AJ17+AR17)/(T17+AJ17+X14+AN14+AW14+AR17),"")</f>
      </c>
      <c r="BA16" s="383"/>
      <c r="BB16" s="383"/>
      <c r="BC16" s="383"/>
      <c r="BD16" s="493">
        <f>IF(AZ16&lt;&gt;"",RANK(AZ16,AZ12:AZ25),RANK(BA14,BA10:BC23))</f>
        <v>1</v>
      </c>
      <c r="BE16" s="493"/>
      <c r="BF16" s="493"/>
      <c r="BG16" s="494"/>
      <c r="BH16" s="76"/>
      <c r="BI16" s="16"/>
      <c r="BJ16" s="530" t="s">
        <v>841</v>
      </c>
      <c r="BK16" s="342"/>
      <c r="BL16" s="342"/>
      <c r="BM16" s="440" t="str">
        <f>IF(BJ14="ここに","",VLOOKUP(BJ14,'登録ナンバー'!$A$1:$D$620,4,0))</f>
        <v>ぼんズ</v>
      </c>
      <c r="BN16" s="440"/>
      <c r="BO16" s="440"/>
      <c r="BP16" s="440"/>
      <c r="BQ16" s="440"/>
      <c r="BR16" s="382"/>
      <c r="BS16" s="539" t="s">
        <v>841</v>
      </c>
      <c r="BT16" s="539"/>
      <c r="BU16" s="539"/>
      <c r="BV16" s="440" t="str">
        <f>IF(BS14="ここに","",VLOOKUP(BS14,'登録ナンバー'!$A$1:$D$620,4,0))</f>
        <v>ぼんズ</v>
      </c>
      <c r="BW16" s="440"/>
      <c r="BX16" s="440"/>
      <c r="BY16" s="440"/>
      <c r="BZ16" s="441"/>
      <c r="CA16" s="360"/>
      <c r="CB16" s="361"/>
      <c r="CC16" s="361"/>
      <c r="CD16" s="361"/>
      <c r="CE16" s="361"/>
      <c r="CF16" s="361"/>
      <c r="CG16" s="361"/>
      <c r="CH16" s="365"/>
      <c r="CI16" s="544"/>
      <c r="CJ16" s="545"/>
      <c r="CK16" s="545"/>
      <c r="CL16" s="545"/>
      <c r="CM16" s="545"/>
      <c r="CN16" s="545"/>
      <c r="CO16" s="545"/>
      <c r="CP16" s="546"/>
      <c r="CQ16" s="336"/>
      <c r="CR16" s="337"/>
      <c r="CS16" s="337"/>
      <c r="CT16" s="337"/>
      <c r="CU16" s="361"/>
      <c r="CV16" s="361"/>
      <c r="CW16" s="361"/>
      <c r="CX16" s="365"/>
      <c r="CY16" s="362"/>
      <c r="CZ16" s="363"/>
      <c r="DA16" s="363"/>
      <c r="DB16" s="361"/>
      <c r="DC16" s="363"/>
      <c r="DD16" s="363"/>
      <c r="DE16" s="363"/>
      <c r="DF16" s="366"/>
      <c r="DG16" s="442">
        <f>IF(OR(COUNTIF(DH10:DJ23,2)=3,COUNTIF(DH10:DJ23,1)=3),(CA17+CQ17+CY17)/(CA17+CQ17+CE14+CU14+DD14+CY17),"")</f>
      </c>
      <c r="DH16" s="361"/>
      <c r="DI16" s="361"/>
      <c r="DJ16" s="361"/>
      <c r="DK16" s="464">
        <f>IF(DG16&lt;&gt;"",RANK(DG16,DG12:DG25),RANK(DH14,DH10:DJ23))</f>
        <v>2</v>
      </c>
      <c r="DL16" s="464"/>
      <c r="DM16" s="464"/>
      <c r="DN16" s="465"/>
    </row>
    <row r="17" spans="1:118" ht="4.5" customHeight="1" hidden="1">
      <c r="A17" s="16"/>
      <c r="B17" s="16"/>
      <c r="C17" s="562"/>
      <c r="D17" s="426"/>
      <c r="E17" s="426"/>
      <c r="F17" s="370"/>
      <c r="G17" s="334"/>
      <c r="H17" s="334"/>
      <c r="I17" s="334"/>
      <c r="J17" s="334"/>
      <c r="K17" s="334"/>
      <c r="L17" s="564"/>
      <c r="M17" s="383"/>
      <c r="N17" s="383"/>
      <c r="O17" s="334"/>
      <c r="P17" s="334"/>
      <c r="Q17" s="334"/>
      <c r="R17" s="371"/>
      <c r="S17" s="372"/>
      <c r="T17" s="373" t="str">
        <f>IF(T14="⑦","7",IF(T14="⑥","6",T14))</f>
        <v>6</v>
      </c>
      <c r="U17" s="371"/>
      <c r="V17" s="371"/>
      <c r="W17" s="371"/>
      <c r="X17" s="371"/>
      <c r="Y17" s="371"/>
      <c r="Z17" s="371"/>
      <c r="AA17" s="372"/>
      <c r="AB17" s="575"/>
      <c r="AC17" s="576"/>
      <c r="AD17" s="576"/>
      <c r="AE17" s="576"/>
      <c r="AF17" s="576"/>
      <c r="AG17" s="576"/>
      <c r="AH17" s="576"/>
      <c r="AI17" s="577"/>
      <c r="AJ17" s="373" t="str">
        <f>IF(AJ14="⑦","7",IF(AJ14="⑥","6",AJ14))</f>
        <v>6</v>
      </c>
      <c r="AK17" s="374"/>
      <c r="AL17" s="374"/>
      <c r="AM17" s="374"/>
      <c r="AN17" s="374"/>
      <c r="AO17" s="374"/>
      <c r="AP17" s="374"/>
      <c r="AQ17" s="375"/>
      <c r="AR17" s="374" t="str">
        <f>IF(AR14="⑦","7",IF(AR14="⑥","6",AR14))</f>
        <v>6</v>
      </c>
      <c r="AS17" s="374"/>
      <c r="AT17" s="374"/>
      <c r="AU17" s="374"/>
      <c r="AV17" s="374"/>
      <c r="AW17" s="374"/>
      <c r="AX17" s="374"/>
      <c r="AY17" s="399"/>
      <c r="AZ17" s="486"/>
      <c r="BA17" s="613"/>
      <c r="BB17" s="613"/>
      <c r="BC17" s="613"/>
      <c r="BD17" s="495"/>
      <c r="BE17" s="495"/>
      <c r="BF17" s="495"/>
      <c r="BG17" s="496"/>
      <c r="BH17" s="76"/>
      <c r="BI17" s="16"/>
      <c r="BJ17" s="531"/>
      <c r="BK17" s="532"/>
      <c r="BL17" s="532"/>
      <c r="BM17" s="382"/>
      <c r="BN17" s="382"/>
      <c r="BO17" s="382"/>
      <c r="BP17" s="382"/>
      <c r="BQ17" s="385"/>
      <c r="BR17" s="382"/>
      <c r="BS17" s="540"/>
      <c r="BT17" s="540"/>
      <c r="BU17" s="540"/>
      <c r="BV17" s="382"/>
      <c r="BW17" s="382"/>
      <c r="BX17" s="382"/>
      <c r="BY17" s="386"/>
      <c r="BZ17" s="387"/>
      <c r="CA17" s="388">
        <f>IF(CA14="⑦","7",IF(CA14="⑥","6",CA14))</f>
        <v>0</v>
      </c>
      <c r="CB17" s="391"/>
      <c r="CC17" s="391"/>
      <c r="CD17" s="391"/>
      <c r="CE17" s="391"/>
      <c r="CF17" s="391"/>
      <c r="CG17" s="391"/>
      <c r="CH17" s="392"/>
      <c r="CI17" s="547"/>
      <c r="CJ17" s="548"/>
      <c r="CK17" s="548"/>
      <c r="CL17" s="548"/>
      <c r="CM17" s="548"/>
      <c r="CN17" s="548"/>
      <c r="CO17" s="548"/>
      <c r="CP17" s="549"/>
      <c r="CQ17" s="388" t="str">
        <f>IF(CQ14="⑦","7",IF(CQ14="⑥","6",CQ14))</f>
        <v>6</v>
      </c>
      <c r="CR17" s="393"/>
      <c r="CS17" s="393"/>
      <c r="CT17" s="393"/>
      <c r="CU17" s="393"/>
      <c r="CV17" s="393"/>
      <c r="CW17" s="393"/>
      <c r="CX17" s="394"/>
      <c r="CY17" s="393" t="str">
        <f>IF(CY14="⑦","7",IF(CY14="⑥","6",CY14))</f>
        <v>N</v>
      </c>
      <c r="CZ17" s="393"/>
      <c r="DA17" s="393"/>
      <c r="DB17" s="393"/>
      <c r="DC17" s="393"/>
      <c r="DD17" s="393"/>
      <c r="DE17" s="393"/>
      <c r="DF17" s="395"/>
      <c r="DG17" s="525"/>
      <c r="DH17" s="528"/>
      <c r="DI17" s="528"/>
      <c r="DJ17" s="528"/>
      <c r="DK17" s="526"/>
      <c r="DL17" s="526"/>
      <c r="DM17" s="526"/>
      <c r="DN17" s="527"/>
    </row>
    <row r="18" spans="1:118" ht="12" customHeight="1">
      <c r="A18" s="16"/>
      <c r="B18" s="593">
        <f>BD20</f>
        <v>3</v>
      </c>
      <c r="C18" s="563"/>
      <c r="D18" s="424"/>
      <c r="E18" s="424"/>
      <c r="F18" s="344" t="s">
        <v>1679</v>
      </c>
      <c r="G18" s="424"/>
      <c r="H18" s="424"/>
      <c r="I18" s="424"/>
      <c r="J18" s="424"/>
      <c r="K18" s="424" t="s">
        <v>837</v>
      </c>
      <c r="L18" s="424" t="s">
        <v>1680</v>
      </c>
      <c r="M18" s="424"/>
      <c r="N18" s="424"/>
      <c r="O18" s="424" t="str">
        <f>IF(L18="ここに","",VLOOKUP(L18,'登録ナンバー'!$A$1:$C$620,2,0))</f>
        <v>佐竹</v>
      </c>
      <c r="P18" s="424"/>
      <c r="Q18" s="424"/>
      <c r="R18" s="424"/>
      <c r="S18" s="425"/>
      <c r="T18" s="344">
        <f>IF(AN10="","",IF(AND(AN10=6,AJ10&lt;&gt;"⑦"),"⑥",IF(AN10=7,"⑦",AN10)))</f>
        <v>3</v>
      </c>
      <c r="U18" s="424"/>
      <c r="V18" s="424"/>
      <c r="W18" s="424" t="s">
        <v>838</v>
      </c>
      <c r="X18" s="424">
        <f>IF(AN10="","",IF(AJ10="⑥",6,IF(AJ10="⑦",7,AJ10)))</f>
        <v>6</v>
      </c>
      <c r="Y18" s="424"/>
      <c r="Z18" s="424"/>
      <c r="AA18" s="425"/>
      <c r="AB18" s="344">
        <v>2</v>
      </c>
      <c r="AC18" s="424"/>
      <c r="AD18" s="424"/>
      <c r="AE18" s="424" t="s">
        <v>838</v>
      </c>
      <c r="AF18" s="424">
        <f>IF(AN14="","",IF(AJ14="⑥",6,IF(AJ14="⑦",7,AJ14)))</f>
        <v>6</v>
      </c>
      <c r="AG18" s="424"/>
      <c r="AH18" s="424"/>
      <c r="AI18" s="425"/>
      <c r="AJ18" s="476"/>
      <c r="AK18" s="477"/>
      <c r="AL18" s="477"/>
      <c r="AM18" s="477"/>
      <c r="AN18" s="477"/>
      <c r="AO18" s="477"/>
      <c r="AP18" s="477"/>
      <c r="AQ18" s="478"/>
      <c r="AR18" s="436" t="s">
        <v>1839</v>
      </c>
      <c r="AS18" s="351"/>
      <c r="AT18" s="351" t="s">
        <v>838</v>
      </c>
      <c r="AU18" s="351">
        <v>3</v>
      </c>
      <c r="AV18" s="351"/>
      <c r="AW18" s="351"/>
      <c r="AX18" s="351"/>
      <c r="AY18" s="352"/>
      <c r="AZ18" s="450">
        <f>IF(COUNTIF(BA10:BC25,1)=2,"直接対決","")</f>
      </c>
      <c r="BA18" s="497">
        <f>COUNTIF(T18:AY19,"⑥")+COUNTIF(T18:AY19,"⑦")</f>
        <v>1</v>
      </c>
      <c r="BB18" s="497"/>
      <c r="BC18" s="497"/>
      <c r="BD18" s="456">
        <f>IF(AB10="","",3-BA18)</f>
        <v>2</v>
      </c>
      <c r="BE18" s="456"/>
      <c r="BF18" s="456"/>
      <c r="BG18" s="457"/>
      <c r="BH18" s="75"/>
      <c r="BI18" s="593">
        <f>DK20</f>
        <v>3</v>
      </c>
      <c r="BJ18" s="529" t="s">
        <v>1253</v>
      </c>
      <c r="BK18" s="350"/>
      <c r="BL18" s="350"/>
      <c r="BM18" s="350" t="s">
        <v>1686</v>
      </c>
      <c r="BN18" s="350"/>
      <c r="BO18" s="350"/>
      <c r="BP18" s="350"/>
      <c r="BQ18" s="350"/>
      <c r="BR18" s="559" t="s">
        <v>837</v>
      </c>
      <c r="BS18" s="350" t="s">
        <v>1687</v>
      </c>
      <c r="BT18" s="350"/>
      <c r="BU18" s="350"/>
      <c r="BV18" s="350" t="str">
        <f>IF(BS18="ここに","",VLOOKUP(BS18,'登録ナンバー'!$A$1:$C$620,2,0))</f>
        <v>浅田</v>
      </c>
      <c r="BW18" s="350"/>
      <c r="BX18" s="350"/>
      <c r="BY18" s="350"/>
      <c r="BZ18" s="341"/>
      <c r="CA18" s="344">
        <f>IF(CU10="","",IF(AND(CU10=6,CQ10&lt;&gt;"⑦"),"⑥",IF(CU10=7,"⑦",CU10)))</f>
        <v>1</v>
      </c>
      <c r="CB18" s="424"/>
      <c r="CC18" s="424"/>
      <c r="CD18" s="424" t="s">
        <v>838</v>
      </c>
      <c r="CE18" s="424">
        <f>IF(CU10="","",IF(CQ10="⑥",6,IF(CQ10="⑦",7,CQ10)))</f>
        <v>6</v>
      </c>
      <c r="CF18" s="424"/>
      <c r="CG18" s="424"/>
      <c r="CH18" s="425"/>
      <c r="CI18" s="344">
        <f>IF(CV14="","",IF(AND(CV14=6,CQ14&lt;&gt;"⑦"),"⑥",IF(CV14=7,"⑦",CV14)))</f>
      </c>
      <c r="CJ18" s="424"/>
      <c r="CK18" s="424"/>
      <c r="CL18" s="424" t="s">
        <v>838</v>
      </c>
      <c r="CM18" s="424">
        <f>IF(CU14="","",IF(CQ14="⑥",6,IF(CQ14="⑦",7,CQ14)))</f>
        <v>6</v>
      </c>
      <c r="CN18" s="424"/>
      <c r="CO18" s="424"/>
      <c r="CP18" s="425"/>
      <c r="CQ18" s="476"/>
      <c r="CR18" s="477"/>
      <c r="CS18" s="477"/>
      <c r="CT18" s="477"/>
      <c r="CU18" s="477"/>
      <c r="CV18" s="477"/>
      <c r="CW18" s="477"/>
      <c r="CX18" s="478"/>
      <c r="CY18" s="344" t="s">
        <v>237</v>
      </c>
      <c r="CZ18" s="424"/>
      <c r="DA18" s="424"/>
      <c r="DB18" s="424" t="s">
        <v>838</v>
      </c>
      <c r="DC18" s="424" t="s">
        <v>1828</v>
      </c>
      <c r="DD18" s="424"/>
      <c r="DE18" s="424"/>
      <c r="DF18" s="425"/>
      <c r="DG18" s="450">
        <f>IF(COUNTIF(DH10:DJ25,1)=2,"直接対決","")</f>
      </c>
      <c r="DH18" s="497">
        <f>COUNTIF(CA18:DF19,"⑥")+COUNTIF(CA18:DF19,"⑦")</f>
        <v>0</v>
      </c>
      <c r="DI18" s="497"/>
      <c r="DJ18" s="497"/>
      <c r="DK18" s="456">
        <f>IF(CI10="","",2-DH18)</f>
        <v>2</v>
      </c>
      <c r="DL18" s="456"/>
      <c r="DM18" s="456"/>
      <c r="DN18" s="457"/>
    </row>
    <row r="19" spans="1:118" ht="12" customHeight="1">
      <c r="A19" s="16"/>
      <c r="B19" s="593"/>
      <c r="C19" s="562"/>
      <c r="D19" s="426"/>
      <c r="E19" s="426"/>
      <c r="F19" s="345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7"/>
      <c r="T19" s="345"/>
      <c r="U19" s="426"/>
      <c r="V19" s="426"/>
      <c r="W19" s="426"/>
      <c r="X19" s="426"/>
      <c r="Y19" s="426"/>
      <c r="Z19" s="426"/>
      <c r="AA19" s="427"/>
      <c r="AB19" s="345"/>
      <c r="AC19" s="426"/>
      <c r="AD19" s="426"/>
      <c r="AE19" s="426"/>
      <c r="AF19" s="426"/>
      <c r="AG19" s="426"/>
      <c r="AH19" s="426"/>
      <c r="AI19" s="427"/>
      <c r="AJ19" s="479"/>
      <c r="AK19" s="480"/>
      <c r="AL19" s="480"/>
      <c r="AM19" s="480"/>
      <c r="AN19" s="480"/>
      <c r="AO19" s="480"/>
      <c r="AP19" s="480"/>
      <c r="AQ19" s="481"/>
      <c r="AR19" s="437"/>
      <c r="AS19" s="348"/>
      <c r="AT19" s="348"/>
      <c r="AU19" s="348"/>
      <c r="AV19" s="348"/>
      <c r="AW19" s="348"/>
      <c r="AX19" s="348"/>
      <c r="AY19" s="349"/>
      <c r="AZ19" s="451"/>
      <c r="BA19" s="498"/>
      <c r="BB19" s="498"/>
      <c r="BC19" s="498"/>
      <c r="BD19" s="458"/>
      <c r="BE19" s="458"/>
      <c r="BF19" s="458"/>
      <c r="BG19" s="459"/>
      <c r="BH19" s="75"/>
      <c r="BI19" s="593"/>
      <c r="BJ19" s="530"/>
      <c r="BK19" s="342"/>
      <c r="BL19" s="342"/>
      <c r="BM19" s="342"/>
      <c r="BN19" s="342"/>
      <c r="BO19" s="342"/>
      <c r="BP19" s="342"/>
      <c r="BQ19" s="342"/>
      <c r="BR19" s="559"/>
      <c r="BS19" s="342"/>
      <c r="BT19" s="342"/>
      <c r="BU19" s="342"/>
      <c r="BV19" s="342"/>
      <c r="BW19" s="342"/>
      <c r="BX19" s="342"/>
      <c r="BY19" s="342"/>
      <c r="BZ19" s="343"/>
      <c r="CA19" s="345"/>
      <c r="CB19" s="426"/>
      <c r="CC19" s="426"/>
      <c r="CD19" s="426"/>
      <c r="CE19" s="426"/>
      <c r="CF19" s="426"/>
      <c r="CG19" s="426"/>
      <c r="CH19" s="427"/>
      <c r="CI19" s="345"/>
      <c r="CJ19" s="426"/>
      <c r="CK19" s="426"/>
      <c r="CL19" s="426"/>
      <c r="CM19" s="426"/>
      <c r="CN19" s="426"/>
      <c r="CO19" s="426"/>
      <c r="CP19" s="427"/>
      <c r="CQ19" s="479"/>
      <c r="CR19" s="480"/>
      <c r="CS19" s="480"/>
      <c r="CT19" s="480"/>
      <c r="CU19" s="480"/>
      <c r="CV19" s="480"/>
      <c r="CW19" s="480"/>
      <c r="CX19" s="481"/>
      <c r="CY19" s="345"/>
      <c r="CZ19" s="426"/>
      <c r="DA19" s="426"/>
      <c r="DB19" s="426"/>
      <c r="DC19" s="426"/>
      <c r="DD19" s="426"/>
      <c r="DE19" s="426"/>
      <c r="DF19" s="427"/>
      <c r="DG19" s="451"/>
      <c r="DH19" s="498"/>
      <c r="DI19" s="498"/>
      <c r="DJ19" s="498"/>
      <c r="DK19" s="458"/>
      <c r="DL19" s="458"/>
      <c r="DM19" s="458"/>
      <c r="DN19" s="459"/>
    </row>
    <row r="20" spans="1:118" ht="18.75" customHeight="1" thickBot="1">
      <c r="A20" s="16"/>
      <c r="B20" s="16"/>
      <c r="C20" s="562" t="s">
        <v>841</v>
      </c>
      <c r="D20" s="426"/>
      <c r="E20" s="426"/>
      <c r="F20" s="345" t="s">
        <v>1397</v>
      </c>
      <c r="G20" s="426"/>
      <c r="H20" s="426"/>
      <c r="I20" s="426"/>
      <c r="J20" s="426"/>
      <c r="K20" s="2"/>
      <c r="L20" s="426" t="s">
        <v>841</v>
      </c>
      <c r="M20" s="426"/>
      <c r="N20" s="426"/>
      <c r="O20" s="426" t="str">
        <f>IF(L18="ここに","",VLOOKUP(L18,'登録ナンバー'!$A$1:$D$620,4,0))</f>
        <v>ぼんズ</v>
      </c>
      <c r="P20" s="426"/>
      <c r="Q20" s="426"/>
      <c r="R20" s="426"/>
      <c r="S20" s="427"/>
      <c r="T20" s="345"/>
      <c r="U20" s="426"/>
      <c r="V20" s="426"/>
      <c r="W20" s="426"/>
      <c r="X20" s="426"/>
      <c r="Y20" s="426"/>
      <c r="Z20" s="426"/>
      <c r="AA20" s="427"/>
      <c r="AB20" s="345"/>
      <c r="AC20" s="426"/>
      <c r="AD20" s="426"/>
      <c r="AE20" s="426"/>
      <c r="AF20" s="426"/>
      <c r="AG20" s="426"/>
      <c r="AH20" s="426"/>
      <c r="AI20" s="427"/>
      <c r="AJ20" s="479"/>
      <c r="AK20" s="480"/>
      <c r="AL20" s="480"/>
      <c r="AM20" s="480"/>
      <c r="AN20" s="480"/>
      <c r="AO20" s="480"/>
      <c r="AP20" s="480"/>
      <c r="AQ20" s="481"/>
      <c r="AR20" s="437"/>
      <c r="AS20" s="348"/>
      <c r="AT20" s="435"/>
      <c r="AU20" s="348"/>
      <c r="AV20" s="348"/>
      <c r="AW20" s="348"/>
      <c r="AX20" s="348"/>
      <c r="AY20" s="349"/>
      <c r="AZ20" s="487">
        <f>IF(OR(COUNTIF(BA10:BC23,2)=3,COUNTIF(BA10:BC23,1)=3),(AB21+AR21+T21)/(T21+AF18+X18+AW18+AR21+AB21),"")</f>
      </c>
      <c r="BA20" s="474"/>
      <c r="BB20" s="474"/>
      <c r="BC20" s="474"/>
      <c r="BD20" s="452">
        <f>IF(AZ20&lt;&gt;"",RANK(AZ20,AZ12:AZ25),RANK(BA18,BA10:BC23))</f>
        <v>3</v>
      </c>
      <c r="BE20" s="452"/>
      <c r="BF20" s="452"/>
      <c r="BG20" s="453"/>
      <c r="BH20" s="76"/>
      <c r="BI20" s="16"/>
      <c r="BJ20" s="530" t="s">
        <v>841</v>
      </c>
      <c r="BK20" s="342"/>
      <c r="BL20" s="342"/>
      <c r="BM20" s="342" t="s">
        <v>1397</v>
      </c>
      <c r="BN20" s="342"/>
      <c r="BO20" s="342"/>
      <c r="BP20" s="342"/>
      <c r="BQ20" s="342"/>
      <c r="BR20" s="125"/>
      <c r="BS20" s="559" t="s">
        <v>841</v>
      </c>
      <c r="BT20" s="559"/>
      <c r="BU20" s="559"/>
      <c r="BV20" s="342" t="str">
        <f>IF(BS18="ここに","",VLOOKUP(BS18,'登録ナンバー'!$A$1:$D$620,4,0))</f>
        <v>京セラ</v>
      </c>
      <c r="BW20" s="342"/>
      <c r="BX20" s="342"/>
      <c r="BY20" s="342"/>
      <c r="BZ20" s="343"/>
      <c r="CA20" s="345"/>
      <c r="CB20" s="426"/>
      <c r="CC20" s="426"/>
      <c r="CD20" s="426"/>
      <c r="CE20" s="426"/>
      <c r="CF20" s="426"/>
      <c r="CG20" s="426"/>
      <c r="CH20" s="427"/>
      <c r="CI20" s="345"/>
      <c r="CJ20" s="426"/>
      <c r="CK20" s="426"/>
      <c r="CL20" s="426"/>
      <c r="CM20" s="426"/>
      <c r="CN20" s="426"/>
      <c r="CO20" s="426"/>
      <c r="CP20" s="427"/>
      <c r="CQ20" s="479"/>
      <c r="CR20" s="480"/>
      <c r="CS20" s="480"/>
      <c r="CT20" s="480"/>
      <c r="CU20" s="480"/>
      <c r="CV20" s="480"/>
      <c r="CW20" s="480"/>
      <c r="CX20" s="481"/>
      <c r="CY20" s="514"/>
      <c r="CZ20" s="428"/>
      <c r="DA20" s="428"/>
      <c r="DB20" s="426"/>
      <c r="DC20" s="428"/>
      <c r="DD20" s="428"/>
      <c r="DE20" s="428"/>
      <c r="DF20" s="429"/>
      <c r="DG20" s="487">
        <f>IF(OR(COUNTIF(DH10:DJ23,2)=3,COUNTIF(DH10:DJ23,1)=3),(CI21+CY21+CA21)/(CA21+CM18+CE18+DD18+CY21+CI21),"")</f>
      </c>
      <c r="DH20" s="474"/>
      <c r="DI20" s="474"/>
      <c r="DJ20" s="474"/>
      <c r="DK20" s="452">
        <f>IF(DG20&lt;&gt;"",RANK(DG20,DG12:DG25),RANK(DH18,DH10:DJ23))</f>
        <v>3</v>
      </c>
      <c r="DL20" s="452"/>
      <c r="DM20" s="452"/>
      <c r="DN20" s="453"/>
    </row>
    <row r="21" spans="1:118" ht="3.75" customHeight="1" hidden="1">
      <c r="A21" s="16"/>
      <c r="B21" s="16"/>
      <c r="C21" s="562"/>
      <c r="D21" s="426"/>
      <c r="E21" s="426"/>
      <c r="F21" s="291"/>
      <c r="G21" s="2"/>
      <c r="H21" s="2"/>
      <c r="I21" s="2"/>
      <c r="J21" s="2"/>
      <c r="K21" s="2"/>
      <c r="L21" s="562"/>
      <c r="M21" s="426"/>
      <c r="N21" s="426"/>
      <c r="O21" s="2"/>
      <c r="P21" s="2"/>
      <c r="Q21" s="2"/>
      <c r="R21" s="11"/>
      <c r="S21" s="39"/>
      <c r="T21" s="56">
        <f>IF(T18="⑦","7",IF(T18="⑥","6",T18))</f>
        <v>3</v>
      </c>
      <c r="AA21" s="24"/>
      <c r="AB21" s="56">
        <f>IF(AB18="⑦","7",IF(AB18="⑥","6",AB18))</f>
        <v>2</v>
      </c>
      <c r="AJ21" s="482"/>
      <c r="AK21" s="483"/>
      <c r="AL21" s="483"/>
      <c r="AM21" s="483"/>
      <c r="AN21" s="483"/>
      <c r="AO21" s="483"/>
      <c r="AP21" s="483"/>
      <c r="AQ21" s="484"/>
      <c r="AR21" s="36" t="str">
        <f>IF(AR18="⑦","7",IF(AR18="⑥","6",AR18))</f>
        <v>6</v>
      </c>
      <c r="AS21" s="36"/>
      <c r="AT21" s="36"/>
      <c r="AU21" s="36"/>
      <c r="AV21" s="36"/>
      <c r="AW21" s="36"/>
      <c r="AX21" s="36"/>
      <c r="AY21" s="44"/>
      <c r="AZ21" s="488"/>
      <c r="BA21" s="475"/>
      <c r="BB21" s="475"/>
      <c r="BC21" s="475"/>
      <c r="BD21" s="454"/>
      <c r="BE21" s="454"/>
      <c r="BF21" s="454"/>
      <c r="BG21" s="455"/>
      <c r="BH21" s="76"/>
      <c r="BI21" s="16"/>
      <c r="BJ21" s="531"/>
      <c r="BK21" s="532"/>
      <c r="BL21" s="532"/>
      <c r="BM21" s="125"/>
      <c r="BN21" s="125"/>
      <c r="BO21" s="125"/>
      <c r="BP21" s="125"/>
      <c r="BQ21" s="125"/>
      <c r="BR21" s="125"/>
      <c r="BS21" s="532"/>
      <c r="BT21" s="532"/>
      <c r="BU21" s="532"/>
      <c r="BV21" s="125"/>
      <c r="BW21" s="125"/>
      <c r="BX21" s="125"/>
      <c r="BY21" s="126"/>
      <c r="BZ21" s="293"/>
      <c r="CA21" s="56">
        <f>IF(CA18="⑦","7",IF(CA18="⑥","6",CA18))</f>
        <v>1</v>
      </c>
      <c r="CH21" s="24"/>
      <c r="CI21" s="56">
        <f>IF(CI18="⑦","7",IF(CI18="⑥","6",CI18))</f>
      </c>
      <c r="CQ21" s="482"/>
      <c r="CR21" s="483"/>
      <c r="CS21" s="483"/>
      <c r="CT21" s="483"/>
      <c r="CU21" s="483"/>
      <c r="CV21" s="483"/>
      <c r="CW21" s="483"/>
      <c r="CX21" s="484"/>
      <c r="CY21" s="36" t="str">
        <f>IF(CY18="⑦","7",IF(CY18="⑥","6",CY18))</f>
        <v>N</v>
      </c>
      <c r="CZ21" s="36"/>
      <c r="DA21" s="36"/>
      <c r="DB21" s="36"/>
      <c r="DC21" s="36"/>
      <c r="DD21" s="36"/>
      <c r="DE21" s="36"/>
      <c r="DF21" s="44"/>
      <c r="DG21" s="488"/>
      <c r="DH21" s="475"/>
      <c r="DI21" s="475"/>
      <c r="DJ21" s="475"/>
      <c r="DK21" s="454"/>
      <c r="DL21" s="454"/>
      <c r="DM21" s="454"/>
      <c r="DN21" s="455"/>
    </row>
    <row r="22" spans="1:118" ht="12" customHeight="1">
      <c r="A22" s="16"/>
      <c r="B22" s="593">
        <f>BD24</f>
        <v>4</v>
      </c>
      <c r="C22" s="563" t="s">
        <v>836</v>
      </c>
      <c r="D22" s="424"/>
      <c r="E22" s="424"/>
      <c r="F22" s="344" t="s">
        <v>1684</v>
      </c>
      <c r="G22" s="424"/>
      <c r="H22" s="424"/>
      <c r="I22" s="424"/>
      <c r="J22" s="424"/>
      <c r="K22" s="424" t="s">
        <v>837</v>
      </c>
      <c r="L22" s="424" t="s">
        <v>1685</v>
      </c>
      <c r="M22" s="424"/>
      <c r="N22" s="424"/>
      <c r="O22" s="424" t="str">
        <f>IF(L22="ここに","",VLOOKUP(L22,'登録ナンバー'!$A$1:$C$620,2,0))</f>
        <v>岩崎</v>
      </c>
      <c r="P22" s="424"/>
      <c r="Q22" s="424"/>
      <c r="R22" s="424"/>
      <c r="S22" s="425"/>
      <c r="T22" s="344">
        <v>1</v>
      </c>
      <c r="U22" s="424"/>
      <c r="V22" s="424"/>
      <c r="W22" s="424" t="s">
        <v>838</v>
      </c>
      <c r="X22" s="424">
        <f>IF(AU10="","",IF(AR10="⑥",6,IF(AR10="⑦",7,AR10)))</f>
        <v>6</v>
      </c>
      <c r="Y22" s="424"/>
      <c r="Z22" s="424"/>
      <c r="AA22" s="425"/>
      <c r="AB22" s="344">
        <v>0</v>
      </c>
      <c r="AC22" s="424"/>
      <c r="AD22" s="424"/>
      <c r="AE22" s="424" t="s">
        <v>838</v>
      </c>
      <c r="AF22" s="424">
        <f>IF(AU14="","",IF(AR14="⑥",6,IF(AR14="⑦",7,AR14)))</f>
        <v>6</v>
      </c>
      <c r="AG22" s="424"/>
      <c r="AH22" s="424"/>
      <c r="AI22" s="425"/>
      <c r="AJ22" s="344">
        <v>3</v>
      </c>
      <c r="AK22" s="424"/>
      <c r="AL22" s="424"/>
      <c r="AM22" s="424" t="s">
        <v>838</v>
      </c>
      <c r="AN22" s="424">
        <f>IF(AU18="","",IF(AR18="⑥",6,IF(AR18="⑦",7,AR18)))</f>
        <v>6</v>
      </c>
      <c r="AO22" s="424"/>
      <c r="AP22" s="424"/>
      <c r="AQ22" s="425"/>
      <c r="AR22" s="476"/>
      <c r="AS22" s="477"/>
      <c r="AT22" s="477"/>
      <c r="AU22" s="477"/>
      <c r="AV22" s="477"/>
      <c r="AW22" s="477"/>
      <c r="AX22" s="477"/>
      <c r="AY22" s="515"/>
      <c r="AZ22" s="450">
        <f>IF(COUNTIF(BA10:BC23,1)=2,"直接対決","")</f>
      </c>
      <c r="BA22" s="497">
        <f>COUNTIF(T22:AQ23,"⑥")+COUNTIF(T22:AQ23,"⑦")</f>
        <v>0</v>
      </c>
      <c r="BB22" s="497"/>
      <c r="BC22" s="497"/>
      <c r="BD22" s="456">
        <f>IF(AB10="","",3-BA22)</f>
        <v>3</v>
      </c>
      <c r="BE22" s="456"/>
      <c r="BF22" s="456"/>
      <c r="BG22" s="457"/>
      <c r="BH22" s="75"/>
      <c r="BI22" s="593">
        <f>DK24</f>
        <v>4</v>
      </c>
      <c r="BJ22" s="529" t="s">
        <v>1673</v>
      </c>
      <c r="BK22" s="350"/>
      <c r="BL22" s="350"/>
      <c r="BM22" s="350" t="str">
        <f>IF(BJ22="ここに","",VLOOKUP(BJ22,'登録ナンバー'!$A$1:$C$620,2,0))</f>
        <v>古市</v>
      </c>
      <c r="BN22" s="350"/>
      <c r="BO22" s="350"/>
      <c r="BP22" s="350"/>
      <c r="BQ22" s="350"/>
      <c r="BR22" s="559" t="s">
        <v>837</v>
      </c>
      <c r="BS22" s="350" t="s">
        <v>1688</v>
      </c>
      <c r="BT22" s="350"/>
      <c r="BU22" s="350"/>
      <c r="BV22" s="350" t="str">
        <f>IF(BS22="ここに","",VLOOKUP(BS22,'登録ナンバー'!$A$1:$C$620,2,0))</f>
        <v>布藤</v>
      </c>
      <c r="BW22" s="350"/>
      <c r="BX22" s="350"/>
      <c r="BY22" s="350"/>
      <c r="BZ22" s="341"/>
      <c r="CA22" s="344" t="s">
        <v>1829</v>
      </c>
      <c r="CB22" s="424"/>
      <c r="CC22" s="424"/>
      <c r="CD22" s="424" t="s">
        <v>838</v>
      </c>
      <c r="CE22" s="424" t="s">
        <v>238</v>
      </c>
      <c r="CF22" s="424"/>
      <c r="CG22" s="424"/>
      <c r="CH22" s="425"/>
      <c r="CI22" s="344" t="s">
        <v>1829</v>
      </c>
      <c r="CJ22" s="424"/>
      <c r="CK22" s="424"/>
      <c r="CL22" s="424" t="s">
        <v>838</v>
      </c>
      <c r="CM22" s="424" t="s">
        <v>238</v>
      </c>
      <c r="CN22" s="424"/>
      <c r="CO22" s="424"/>
      <c r="CP22" s="425"/>
      <c r="CQ22" s="344" t="s">
        <v>1829</v>
      </c>
      <c r="CR22" s="424"/>
      <c r="CS22" s="424"/>
      <c r="CT22" s="424" t="s">
        <v>838</v>
      </c>
      <c r="CU22" s="424" t="s">
        <v>238</v>
      </c>
      <c r="CV22" s="424"/>
      <c r="CW22" s="424"/>
      <c r="CX22" s="425"/>
      <c r="CY22" s="476"/>
      <c r="CZ22" s="477"/>
      <c r="DA22" s="477"/>
      <c r="DB22" s="477"/>
      <c r="DC22" s="477"/>
      <c r="DD22" s="477"/>
      <c r="DE22" s="477"/>
      <c r="DF22" s="515"/>
      <c r="DG22" s="450">
        <f>IF(COUNTIF(DH10:DJ23,1)=2,"直接対決","")</f>
      </c>
      <c r="DH22" s="497"/>
      <c r="DI22" s="497"/>
      <c r="DJ22" s="497"/>
      <c r="DK22" s="456"/>
      <c r="DL22" s="456"/>
      <c r="DM22" s="456"/>
      <c r="DN22" s="457"/>
    </row>
    <row r="23" spans="1:118" ht="12" customHeight="1">
      <c r="A23" s="16"/>
      <c r="B23" s="500"/>
      <c r="C23" s="562"/>
      <c r="D23" s="426"/>
      <c r="E23" s="426"/>
      <c r="F23" s="345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7"/>
      <c r="T23" s="345"/>
      <c r="U23" s="426"/>
      <c r="V23" s="426"/>
      <c r="W23" s="426"/>
      <c r="X23" s="426"/>
      <c r="Y23" s="426"/>
      <c r="Z23" s="426"/>
      <c r="AA23" s="427"/>
      <c r="AB23" s="345"/>
      <c r="AC23" s="426"/>
      <c r="AD23" s="426"/>
      <c r="AE23" s="426"/>
      <c r="AF23" s="426"/>
      <c r="AG23" s="426"/>
      <c r="AH23" s="426"/>
      <c r="AI23" s="427"/>
      <c r="AJ23" s="345"/>
      <c r="AK23" s="426"/>
      <c r="AL23" s="426"/>
      <c r="AM23" s="426"/>
      <c r="AN23" s="426"/>
      <c r="AO23" s="426"/>
      <c r="AP23" s="426"/>
      <c r="AQ23" s="427"/>
      <c r="AR23" s="479"/>
      <c r="AS23" s="480"/>
      <c r="AT23" s="480"/>
      <c r="AU23" s="480"/>
      <c r="AV23" s="480"/>
      <c r="AW23" s="480"/>
      <c r="AX23" s="480"/>
      <c r="AY23" s="516"/>
      <c r="AZ23" s="451"/>
      <c r="BA23" s="498"/>
      <c r="BB23" s="498"/>
      <c r="BC23" s="498"/>
      <c r="BD23" s="458"/>
      <c r="BE23" s="458"/>
      <c r="BF23" s="458"/>
      <c r="BG23" s="459"/>
      <c r="BH23" s="75"/>
      <c r="BI23" s="500"/>
      <c r="BJ23" s="530"/>
      <c r="BK23" s="342"/>
      <c r="BL23" s="342"/>
      <c r="BM23" s="342"/>
      <c r="BN23" s="342"/>
      <c r="BO23" s="342"/>
      <c r="BP23" s="342"/>
      <c r="BQ23" s="342"/>
      <c r="BR23" s="559"/>
      <c r="BS23" s="342"/>
      <c r="BT23" s="342"/>
      <c r="BU23" s="342"/>
      <c r="BV23" s="342"/>
      <c r="BW23" s="342"/>
      <c r="BX23" s="342"/>
      <c r="BY23" s="342"/>
      <c r="BZ23" s="343"/>
      <c r="CA23" s="345"/>
      <c r="CB23" s="426"/>
      <c r="CC23" s="426"/>
      <c r="CD23" s="426"/>
      <c r="CE23" s="426"/>
      <c r="CF23" s="426"/>
      <c r="CG23" s="426"/>
      <c r="CH23" s="427"/>
      <c r="CI23" s="345"/>
      <c r="CJ23" s="426"/>
      <c r="CK23" s="426"/>
      <c r="CL23" s="426"/>
      <c r="CM23" s="426"/>
      <c r="CN23" s="426"/>
      <c r="CO23" s="426"/>
      <c r="CP23" s="427"/>
      <c r="CQ23" s="345"/>
      <c r="CR23" s="426"/>
      <c r="CS23" s="426"/>
      <c r="CT23" s="426"/>
      <c r="CU23" s="426"/>
      <c r="CV23" s="426"/>
      <c r="CW23" s="426"/>
      <c r="CX23" s="427"/>
      <c r="CY23" s="479"/>
      <c r="CZ23" s="480"/>
      <c r="DA23" s="480"/>
      <c r="DB23" s="480"/>
      <c r="DC23" s="480"/>
      <c r="DD23" s="480"/>
      <c r="DE23" s="480"/>
      <c r="DF23" s="516"/>
      <c r="DG23" s="451"/>
      <c r="DH23" s="498"/>
      <c r="DI23" s="498"/>
      <c r="DJ23" s="498"/>
      <c r="DK23" s="458"/>
      <c r="DL23" s="458"/>
      <c r="DM23" s="458"/>
      <c r="DN23" s="459"/>
    </row>
    <row r="24" spans="1:118" ht="19.5" customHeight="1" thickBot="1">
      <c r="A24" s="16"/>
      <c r="B24" s="16"/>
      <c r="C24" s="588" t="s">
        <v>841</v>
      </c>
      <c r="D24" s="428"/>
      <c r="E24" s="428"/>
      <c r="F24" s="537" t="s">
        <v>1397</v>
      </c>
      <c r="G24" s="499"/>
      <c r="H24" s="499"/>
      <c r="I24" s="499"/>
      <c r="J24" s="499"/>
      <c r="K24" s="2"/>
      <c r="L24" s="426" t="s">
        <v>841</v>
      </c>
      <c r="M24" s="426"/>
      <c r="N24" s="426"/>
      <c r="O24" s="426" t="str">
        <f>IF(L22="ここに","",VLOOKUP(L22,'登録ナンバー'!$A$1:$D$620,4,0))</f>
        <v>フレンズ</v>
      </c>
      <c r="P24" s="426"/>
      <c r="Q24" s="426"/>
      <c r="R24" s="426"/>
      <c r="S24" s="427"/>
      <c r="T24" s="514"/>
      <c r="U24" s="428"/>
      <c r="V24" s="428"/>
      <c r="W24" s="426"/>
      <c r="X24" s="428"/>
      <c r="Y24" s="428"/>
      <c r="Z24" s="428"/>
      <c r="AA24" s="429"/>
      <c r="AB24" s="514"/>
      <c r="AC24" s="428"/>
      <c r="AD24" s="428"/>
      <c r="AE24" s="426"/>
      <c r="AF24" s="428"/>
      <c r="AG24" s="428"/>
      <c r="AH24" s="428"/>
      <c r="AI24" s="429"/>
      <c r="AJ24" s="514"/>
      <c r="AK24" s="428"/>
      <c r="AL24" s="428"/>
      <c r="AM24" s="428"/>
      <c r="AN24" s="428"/>
      <c r="AO24" s="428"/>
      <c r="AP24" s="428"/>
      <c r="AQ24" s="429"/>
      <c r="AR24" s="479"/>
      <c r="AS24" s="480"/>
      <c r="AT24" s="480"/>
      <c r="AU24" s="480"/>
      <c r="AV24" s="480"/>
      <c r="AW24" s="480"/>
      <c r="AX24" s="480"/>
      <c r="AY24" s="516"/>
      <c r="AZ24" s="487">
        <f>IF(OR(COUNTIF(BA10:BC23,2)=3,COUNTIF(BA10:BC23,1)=3),(AB25+AJ25+T25)/(AB25+AJ25+AF22+AN22+X22+T25),"")</f>
      </c>
      <c r="BA24" s="474"/>
      <c r="BB24" s="474"/>
      <c r="BC24" s="474"/>
      <c r="BD24" s="452">
        <f>IF(AZ24&lt;&gt;"",RANK(AZ24,AZ12:AZ25),RANK(BA22,BA10:BC23))</f>
        <v>4</v>
      </c>
      <c r="BE24" s="452"/>
      <c r="BF24" s="452"/>
      <c r="BG24" s="453"/>
      <c r="BH24" s="76"/>
      <c r="BI24" s="16"/>
      <c r="BJ24" s="530" t="s">
        <v>841</v>
      </c>
      <c r="BK24" s="342"/>
      <c r="BL24" s="342"/>
      <c r="BM24" s="342" t="str">
        <f>IF(BJ22="ここに","",VLOOKUP(BJ22,'登録ナンバー'!$A$1:$D$620,4,0))</f>
        <v>ぼんズ</v>
      </c>
      <c r="BN24" s="342"/>
      <c r="BO24" s="342"/>
      <c r="BP24" s="342"/>
      <c r="BQ24" s="342"/>
      <c r="BR24" s="125"/>
      <c r="BS24" s="559" t="s">
        <v>841</v>
      </c>
      <c r="BT24" s="559"/>
      <c r="BU24" s="559"/>
      <c r="BV24" s="342" t="str">
        <f>IF(BS22="ここに","",VLOOKUP(BS22,'登録ナンバー'!$A$1:$D$620,4,0))</f>
        <v>Kテニス</v>
      </c>
      <c r="BW24" s="342"/>
      <c r="BX24" s="342"/>
      <c r="BY24" s="342"/>
      <c r="BZ24" s="343"/>
      <c r="CA24" s="514"/>
      <c r="CB24" s="428"/>
      <c r="CC24" s="428"/>
      <c r="CD24" s="426"/>
      <c r="CE24" s="428"/>
      <c r="CF24" s="428"/>
      <c r="CG24" s="428"/>
      <c r="CH24" s="429"/>
      <c r="CI24" s="514"/>
      <c r="CJ24" s="428"/>
      <c r="CK24" s="428"/>
      <c r="CL24" s="426"/>
      <c r="CM24" s="428"/>
      <c r="CN24" s="428"/>
      <c r="CO24" s="428"/>
      <c r="CP24" s="429"/>
      <c r="CQ24" s="514"/>
      <c r="CR24" s="428"/>
      <c r="CS24" s="428"/>
      <c r="CT24" s="426"/>
      <c r="CU24" s="428"/>
      <c r="CV24" s="428"/>
      <c r="CW24" s="428"/>
      <c r="CX24" s="429"/>
      <c r="CY24" s="479"/>
      <c r="CZ24" s="480"/>
      <c r="DA24" s="480"/>
      <c r="DB24" s="480"/>
      <c r="DC24" s="480"/>
      <c r="DD24" s="480"/>
      <c r="DE24" s="480"/>
      <c r="DF24" s="516"/>
      <c r="DG24" s="487">
        <f>IF(OR(COUNTIF(DH10:DJ23,2)=3,COUNTIF(DH10:DJ23,1)=3),(CI25+CQ25+CA25)/(CI25+CQ25+CM22+CU22+CE22+CA25),"")</f>
      </c>
      <c r="DH24" s="474"/>
      <c r="DI24" s="474"/>
      <c r="DJ24" s="474"/>
      <c r="DK24" s="452">
        <v>4</v>
      </c>
      <c r="DL24" s="452"/>
      <c r="DM24" s="452"/>
      <c r="DN24" s="453"/>
    </row>
    <row r="25" spans="2:118" ht="5.25" customHeight="1" hidden="1">
      <c r="B25" s="16"/>
      <c r="C25" s="565"/>
      <c r="D25" s="566"/>
      <c r="E25" s="566"/>
      <c r="F25" s="566"/>
      <c r="G25" s="566"/>
      <c r="H25" s="566"/>
      <c r="I25" s="566"/>
      <c r="J25" s="567"/>
      <c r="K25" s="71"/>
      <c r="L25" s="565"/>
      <c r="M25" s="566"/>
      <c r="N25" s="566"/>
      <c r="O25" s="566"/>
      <c r="P25" s="566"/>
      <c r="Q25" s="566"/>
      <c r="R25" s="566"/>
      <c r="S25" s="567"/>
      <c r="T25" s="69">
        <f>IF(T22="⑦","7",IF(T22="⑥","6",T22))</f>
        <v>1</v>
      </c>
      <c r="U25" s="55"/>
      <c r="V25" s="55"/>
      <c r="W25" s="55"/>
      <c r="X25" s="55"/>
      <c r="Y25" s="55"/>
      <c r="Z25" s="55"/>
      <c r="AA25" s="68"/>
      <c r="AB25" s="69">
        <f>IF(AB22="⑦","7",IF(AB22="⑥","6",AB22))</f>
        <v>0</v>
      </c>
      <c r="AC25" s="55"/>
      <c r="AD25" s="55"/>
      <c r="AE25" s="55"/>
      <c r="AF25" s="55"/>
      <c r="AG25" s="55"/>
      <c r="AH25" s="55"/>
      <c r="AI25" s="68"/>
      <c r="AJ25" s="69">
        <f>IF(AJ22="⑦","7",IF(AJ22="⑥","6",AJ22))</f>
        <v>3</v>
      </c>
      <c r="AK25" s="55"/>
      <c r="AL25" s="55"/>
      <c r="AM25" s="55"/>
      <c r="AN25" s="55"/>
      <c r="AO25" s="55"/>
      <c r="AP25" s="55"/>
      <c r="AQ25" s="68"/>
      <c r="AR25" s="479"/>
      <c r="AS25" s="480"/>
      <c r="AT25" s="480"/>
      <c r="AU25" s="480"/>
      <c r="AV25" s="480"/>
      <c r="AW25" s="480"/>
      <c r="AX25" s="480"/>
      <c r="AY25" s="516"/>
      <c r="AZ25" s="512"/>
      <c r="BA25" s="524"/>
      <c r="BB25" s="524"/>
      <c r="BC25" s="524"/>
      <c r="BD25" s="522"/>
      <c r="BE25" s="522"/>
      <c r="BF25" s="522"/>
      <c r="BG25" s="523"/>
      <c r="BH25" s="76"/>
      <c r="BI25" s="16"/>
      <c r="BJ25" s="531"/>
      <c r="BK25" s="532"/>
      <c r="BL25" s="532"/>
      <c r="BM25" s="125"/>
      <c r="BN25" s="125"/>
      <c r="BO25" s="125"/>
      <c r="BP25" s="125"/>
      <c r="BQ25" s="125"/>
      <c r="BR25" s="125"/>
      <c r="BS25" s="532"/>
      <c r="BT25" s="532"/>
      <c r="BU25" s="532"/>
      <c r="BV25" s="125"/>
      <c r="BW25" s="125"/>
      <c r="BX25" s="125"/>
      <c r="BY25" s="126"/>
      <c r="BZ25" s="294"/>
      <c r="CA25" s="69" t="str">
        <f>IF(CA22="⑦","7",IF(CA22="⑥","6",CA22))</f>
        <v>W</v>
      </c>
      <c r="CB25" s="55"/>
      <c r="CC25" s="55"/>
      <c r="CD25" s="55"/>
      <c r="CE25" s="55"/>
      <c r="CF25" s="55"/>
      <c r="CG25" s="55"/>
      <c r="CH25" s="68"/>
      <c r="CI25" s="69" t="str">
        <f>IF(CI22="⑦","7",IF(CI22="⑥","6",CI22))</f>
        <v>W</v>
      </c>
      <c r="CJ25" s="55"/>
      <c r="CK25" s="55"/>
      <c r="CL25" s="55"/>
      <c r="CM25" s="55"/>
      <c r="CN25" s="55"/>
      <c r="CO25" s="55"/>
      <c r="CP25" s="68"/>
      <c r="CQ25" s="69" t="str">
        <f>IF(CQ22="⑦","7",IF(CQ22="⑥","6",CQ22))</f>
        <v>W</v>
      </c>
      <c r="CR25" s="55"/>
      <c r="CS25" s="55"/>
      <c r="CT25" s="55"/>
      <c r="CU25" s="55"/>
      <c r="CV25" s="55"/>
      <c r="CW25" s="55"/>
      <c r="CX25" s="68"/>
      <c r="CY25" s="479"/>
      <c r="CZ25" s="480"/>
      <c r="DA25" s="480"/>
      <c r="DB25" s="480"/>
      <c r="DC25" s="480"/>
      <c r="DD25" s="480"/>
      <c r="DE25" s="480"/>
      <c r="DF25" s="516"/>
      <c r="DG25" s="512"/>
      <c r="DH25" s="524"/>
      <c r="DI25" s="524"/>
      <c r="DJ25" s="524"/>
      <c r="DK25" s="522"/>
      <c r="DL25" s="522"/>
      <c r="DM25" s="522"/>
      <c r="DN25" s="523"/>
    </row>
    <row r="26" spans="3:118" ht="12" customHeight="1">
      <c r="C26" s="63"/>
      <c r="D26" s="63"/>
      <c r="E26" s="63"/>
      <c r="F26" s="63"/>
      <c r="G26" s="63"/>
      <c r="H26" s="63"/>
      <c r="I26" s="54"/>
      <c r="J26" s="54"/>
      <c r="K26" s="50"/>
      <c r="L26" s="51"/>
      <c r="M26" s="51"/>
      <c r="N26" s="51"/>
      <c r="O26" s="51"/>
      <c r="P26" s="51"/>
      <c r="Q26" s="51"/>
      <c r="R26" s="51"/>
      <c r="S26" s="50"/>
      <c r="T26" s="51"/>
      <c r="U26" s="51"/>
      <c r="V26" s="51"/>
      <c r="W26" s="51"/>
      <c r="X26" s="55"/>
      <c r="Y26" s="55"/>
      <c r="Z26" s="55"/>
      <c r="AA26" s="4"/>
      <c r="AB26" s="4"/>
      <c r="AC26" s="4"/>
      <c r="AD26" s="4"/>
      <c r="AE26" s="4"/>
      <c r="AF26" s="4"/>
      <c r="AG26" s="4"/>
      <c r="AH26" s="4"/>
      <c r="AI26" s="4"/>
      <c r="AJ26" s="49"/>
      <c r="AK26" s="49"/>
      <c r="AL26" s="49"/>
      <c r="AM26" s="49"/>
      <c r="AN26" s="49"/>
      <c r="AO26" s="49"/>
      <c r="AP26" s="49"/>
      <c r="AQ26" s="52"/>
      <c r="AR26" s="52"/>
      <c r="AS26" s="52"/>
      <c r="AT26" s="52"/>
      <c r="AU26" s="53"/>
      <c r="AV26" s="53"/>
      <c r="AW26" s="53"/>
      <c r="AX26" s="53"/>
      <c r="AY26" s="58"/>
      <c r="AZ26" s="58"/>
      <c r="BA26" s="58"/>
      <c r="BB26" s="58"/>
      <c r="BC26" s="58"/>
      <c r="BD26" s="58"/>
      <c r="BE26" s="58"/>
      <c r="BF26" s="58"/>
      <c r="BG26" s="58"/>
      <c r="BH26" s="62"/>
      <c r="BJ26" s="63"/>
      <c r="BK26" s="63"/>
      <c r="BL26" s="63"/>
      <c r="BM26" s="63"/>
      <c r="BN26" s="63"/>
      <c r="BO26" s="63"/>
      <c r="BP26" s="54"/>
      <c r="BQ26" s="54"/>
      <c r="BR26" s="50"/>
      <c r="BS26" s="51"/>
      <c r="BT26" s="51"/>
      <c r="BU26" s="51"/>
      <c r="BV26" s="51"/>
      <c r="BW26" s="51"/>
      <c r="BX26" s="51"/>
      <c r="BY26" s="51"/>
      <c r="BZ26" s="50"/>
      <c r="CA26" s="51"/>
      <c r="CB26" s="51"/>
      <c r="CC26" s="51"/>
      <c r="CD26" s="51"/>
      <c r="CE26" s="55"/>
      <c r="CF26" s="55"/>
      <c r="CG26" s="55"/>
      <c r="CH26" s="4"/>
      <c r="CI26" s="4"/>
      <c r="CJ26" s="4"/>
      <c r="CK26" s="4"/>
      <c r="CL26" s="4"/>
      <c r="CM26" s="4"/>
      <c r="CN26" s="4"/>
      <c r="CO26" s="4"/>
      <c r="CP26" s="4"/>
      <c r="CQ26" s="49"/>
      <c r="CR26" s="49"/>
      <c r="CS26" s="49"/>
      <c r="CT26" s="49"/>
      <c r="CU26" s="49"/>
      <c r="CV26" s="49"/>
      <c r="CW26" s="49"/>
      <c r="CX26" s="52"/>
      <c r="CY26" s="52"/>
      <c r="CZ26" s="52"/>
      <c r="DA26" s="52"/>
      <c r="DB26" s="53"/>
      <c r="DC26" s="53"/>
      <c r="DD26" s="53"/>
      <c r="DE26" s="53"/>
      <c r="DF26" s="58"/>
      <c r="DG26" s="58"/>
      <c r="DH26" s="58"/>
      <c r="DI26" s="58"/>
      <c r="DJ26" s="58"/>
      <c r="DK26" s="58"/>
      <c r="DL26" s="58"/>
      <c r="DM26" s="58"/>
      <c r="DN26" s="58"/>
    </row>
    <row r="27" spans="3:118" ht="12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</row>
    <row r="28" spans="3:118" ht="12" customHeight="1">
      <c r="C28" s="426" t="s">
        <v>1825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2"/>
      <c r="BJ28" s="426" t="s">
        <v>1826</v>
      </c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</row>
    <row r="29" spans="3:118" ht="12" customHeight="1" thickBot="1"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2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</row>
    <row r="30" spans="1:118" ht="12" customHeight="1">
      <c r="A30" s="16"/>
      <c r="C30" s="517" t="s">
        <v>850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68"/>
      <c r="T30" s="517" t="str">
        <f>F34</f>
        <v>金武</v>
      </c>
      <c r="U30" s="518"/>
      <c r="V30" s="518"/>
      <c r="W30" s="518"/>
      <c r="X30" s="518"/>
      <c r="Y30" s="518"/>
      <c r="Z30" s="518"/>
      <c r="AA30" s="568"/>
      <c r="AB30" s="345" t="str">
        <f>F38</f>
        <v>清水</v>
      </c>
      <c r="AC30" s="426"/>
      <c r="AD30" s="426"/>
      <c r="AE30" s="426"/>
      <c r="AF30" s="426"/>
      <c r="AG30" s="426"/>
      <c r="AH30" s="426"/>
      <c r="AI30" s="426"/>
      <c r="AJ30" s="517" t="str">
        <f>F42</f>
        <v>川上</v>
      </c>
      <c r="AK30" s="518"/>
      <c r="AL30" s="518"/>
      <c r="AM30" s="518"/>
      <c r="AN30" s="518"/>
      <c r="AO30" s="518"/>
      <c r="AP30" s="518"/>
      <c r="AQ30" s="568"/>
      <c r="AR30" s="517" t="str">
        <f>F46</f>
        <v>八木</v>
      </c>
      <c r="AS30" s="518"/>
      <c r="AT30" s="518"/>
      <c r="AU30" s="518"/>
      <c r="AV30" s="518"/>
      <c r="AW30" s="518"/>
      <c r="AX30" s="518"/>
      <c r="AY30" s="519"/>
      <c r="AZ30" s="513">
        <f>IF(AZ36&lt;&gt;"","取得","")</f>
      </c>
      <c r="BA30" s="55"/>
      <c r="BB30" s="518" t="s">
        <v>834</v>
      </c>
      <c r="BC30" s="518"/>
      <c r="BD30" s="518"/>
      <c r="BE30" s="518"/>
      <c r="BF30" s="518"/>
      <c r="BG30" s="521"/>
      <c r="BH30" s="290"/>
      <c r="BJ30" s="562" t="s">
        <v>854</v>
      </c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7"/>
      <c r="CA30" s="517" t="str">
        <f>BM34</f>
        <v>吉野</v>
      </c>
      <c r="CB30" s="518"/>
      <c r="CC30" s="518"/>
      <c r="CD30" s="518"/>
      <c r="CE30" s="518"/>
      <c r="CF30" s="518"/>
      <c r="CG30" s="518"/>
      <c r="CH30" s="568"/>
      <c r="CI30" s="345" t="str">
        <f>BM38</f>
        <v>藤井</v>
      </c>
      <c r="CJ30" s="426"/>
      <c r="CK30" s="426"/>
      <c r="CL30" s="426"/>
      <c r="CM30" s="426"/>
      <c r="CN30" s="426"/>
      <c r="CO30" s="426"/>
      <c r="CP30" s="426"/>
      <c r="CQ30" s="517" t="str">
        <f>BM42</f>
        <v>片岡</v>
      </c>
      <c r="CR30" s="518"/>
      <c r="CS30" s="518"/>
      <c r="CT30" s="518"/>
      <c r="CU30" s="518"/>
      <c r="CV30" s="518"/>
      <c r="CW30" s="518"/>
      <c r="CX30" s="568"/>
      <c r="CY30" s="517" t="str">
        <f>BM46</f>
        <v>西川</v>
      </c>
      <c r="CZ30" s="518"/>
      <c r="DA30" s="518"/>
      <c r="DB30" s="518"/>
      <c r="DC30" s="518"/>
      <c r="DD30" s="518"/>
      <c r="DE30" s="518"/>
      <c r="DF30" s="519"/>
      <c r="DG30" s="513">
        <f>IF(DG36&lt;&gt;"","取得","")</f>
      </c>
      <c r="DH30" s="55"/>
      <c r="DI30" s="518" t="s">
        <v>834</v>
      </c>
      <c r="DJ30" s="518"/>
      <c r="DK30" s="518"/>
      <c r="DL30" s="518"/>
      <c r="DM30" s="518"/>
      <c r="DN30" s="521"/>
    </row>
    <row r="31" spans="1:118" ht="12" customHeight="1">
      <c r="A31" s="16"/>
      <c r="C31" s="345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7"/>
      <c r="T31" s="345"/>
      <c r="U31" s="426"/>
      <c r="V31" s="426"/>
      <c r="W31" s="426"/>
      <c r="X31" s="426"/>
      <c r="Y31" s="426"/>
      <c r="Z31" s="426"/>
      <c r="AA31" s="427"/>
      <c r="AB31" s="345"/>
      <c r="AC31" s="426"/>
      <c r="AD31" s="426"/>
      <c r="AE31" s="426"/>
      <c r="AF31" s="426"/>
      <c r="AG31" s="426"/>
      <c r="AH31" s="426"/>
      <c r="AI31" s="426"/>
      <c r="AJ31" s="345"/>
      <c r="AK31" s="426"/>
      <c r="AL31" s="426"/>
      <c r="AM31" s="426"/>
      <c r="AN31" s="426"/>
      <c r="AO31" s="426"/>
      <c r="AP31" s="426"/>
      <c r="AQ31" s="427"/>
      <c r="AR31" s="345"/>
      <c r="AS31" s="426"/>
      <c r="AT31" s="426"/>
      <c r="AU31" s="426"/>
      <c r="AV31" s="426"/>
      <c r="AW31" s="426"/>
      <c r="AX31" s="426"/>
      <c r="AY31" s="520"/>
      <c r="AZ31" s="502"/>
      <c r="BB31" s="426"/>
      <c r="BC31" s="426"/>
      <c r="BD31" s="426"/>
      <c r="BE31" s="426"/>
      <c r="BF31" s="426"/>
      <c r="BG31" s="500"/>
      <c r="BH31" s="290"/>
      <c r="BJ31" s="562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7"/>
      <c r="CA31" s="345"/>
      <c r="CB31" s="426"/>
      <c r="CC31" s="426"/>
      <c r="CD31" s="426"/>
      <c r="CE31" s="426"/>
      <c r="CF31" s="426"/>
      <c r="CG31" s="426"/>
      <c r="CH31" s="427"/>
      <c r="CI31" s="345"/>
      <c r="CJ31" s="426"/>
      <c r="CK31" s="426"/>
      <c r="CL31" s="426"/>
      <c r="CM31" s="426"/>
      <c r="CN31" s="426"/>
      <c r="CO31" s="426"/>
      <c r="CP31" s="426"/>
      <c r="CQ31" s="345"/>
      <c r="CR31" s="426"/>
      <c r="CS31" s="426"/>
      <c r="CT31" s="426"/>
      <c r="CU31" s="426"/>
      <c r="CV31" s="426"/>
      <c r="CW31" s="426"/>
      <c r="CX31" s="427"/>
      <c r="CY31" s="345"/>
      <c r="CZ31" s="426"/>
      <c r="DA31" s="426"/>
      <c r="DB31" s="426"/>
      <c r="DC31" s="426"/>
      <c r="DD31" s="426"/>
      <c r="DE31" s="426"/>
      <c r="DF31" s="520"/>
      <c r="DG31" s="502"/>
      <c r="DI31" s="426"/>
      <c r="DJ31" s="426"/>
      <c r="DK31" s="426"/>
      <c r="DL31" s="426"/>
      <c r="DM31" s="426"/>
      <c r="DN31" s="500"/>
    </row>
    <row r="32" spans="1:118" ht="12" customHeight="1">
      <c r="A32" s="16"/>
      <c r="C32" s="345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7"/>
      <c r="T32" s="345" t="str">
        <f>O34</f>
        <v>内田</v>
      </c>
      <c r="U32" s="426"/>
      <c r="V32" s="426"/>
      <c r="W32" s="426"/>
      <c r="X32" s="426"/>
      <c r="Y32" s="426"/>
      <c r="Z32" s="426"/>
      <c r="AA32" s="427"/>
      <c r="AB32" s="345" t="str">
        <f>O38</f>
        <v>永松</v>
      </c>
      <c r="AC32" s="426"/>
      <c r="AD32" s="426"/>
      <c r="AE32" s="426"/>
      <c r="AF32" s="426"/>
      <c r="AG32" s="426"/>
      <c r="AH32" s="426"/>
      <c r="AI32" s="426"/>
      <c r="AJ32" s="345" t="str">
        <f>O42</f>
        <v>吉岡</v>
      </c>
      <c r="AK32" s="426"/>
      <c r="AL32" s="426"/>
      <c r="AM32" s="426"/>
      <c r="AN32" s="426"/>
      <c r="AO32" s="426"/>
      <c r="AP32" s="426"/>
      <c r="AQ32" s="427"/>
      <c r="AR32" s="426" t="str">
        <f>O46</f>
        <v>木村</v>
      </c>
      <c r="AS32" s="426"/>
      <c r="AT32" s="426"/>
      <c r="AU32" s="426"/>
      <c r="AV32" s="426"/>
      <c r="AW32" s="426"/>
      <c r="AX32" s="426"/>
      <c r="AY32" s="520"/>
      <c r="AZ32" s="502">
        <f>IF(AZ36&lt;&gt;"","ゲーム率","")</f>
      </c>
      <c r="BA32" s="426"/>
      <c r="BB32" s="426" t="s">
        <v>835</v>
      </c>
      <c r="BC32" s="426"/>
      <c r="BD32" s="426"/>
      <c r="BE32" s="426"/>
      <c r="BF32" s="426"/>
      <c r="BG32" s="500"/>
      <c r="BH32" s="290"/>
      <c r="BJ32" s="562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7"/>
      <c r="CA32" s="345" t="str">
        <f>BV34</f>
        <v>津田</v>
      </c>
      <c r="CB32" s="426"/>
      <c r="CC32" s="426"/>
      <c r="CD32" s="426"/>
      <c r="CE32" s="426"/>
      <c r="CF32" s="426"/>
      <c r="CG32" s="426"/>
      <c r="CH32" s="427"/>
      <c r="CI32" s="345" t="str">
        <f>BV38</f>
        <v>岩崎</v>
      </c>
      <c r="CJ32" s="426"/>
      <c r="CK32" s="426"/>
      <c r="CL32" s="426"/>
      <c r="CM32" s="426"/>
      <c r="CN32" s="426"/>
      <c r="CO32" s="426"/>
      <c r="CP32" s="426"/>
      <c r="CQ32" s="345" t="str">
        <f>BV42</f>
        <v>廣部</v>
      </c>
      <c r="CR32" s="426"/>
      <c r="CS32" s="426"/>
      <c r="CT32" s="426"/>
      <c r="CU32" s="426"/>
      <c r="CV32" s="426"/>
      <c r="CW32" s="426"/>
      <c r="CX32" s="427"/>
      <c r="CY32" s="426" t="str">
        <f>BV46</f>
        <v>藤原</v>
      </c>
      <c r="CZ32" s="426"/>
      <c r="DA32" s="426"/>
      <c r="DB32" s="426"/>
      <c r="DC32" s="426"/>
      <c r="DD32" s="426"/>
      <c r="DE32" s="426"/>
      <c r="DF32" s="520"/>
      <c r="DG32" s="502">
        <f>IF(DG36&lt;&gt;"","ゲーム率","")</f>
      </c>
      <c r="DH32" s="426"/>
      <c r="DI32" s="426" t="s">
        <v>835</v>
      </c>
      <c r="DJ32" s="426"/>
      <c r="DK32" s="426"/>
      <c r="DL32" s="426"/>
      <c r="DM32" s="426"/>
      <c r="DN32" s="500"/>
    </row>
    <row r="33" spans="1:118" ht="12" customHeight="1">
      <c r="A33" s="16"/>
      <c r="C33" s="537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538"/>
      <c r="T33" s="537"/>
      <c r="U33" s="499"/>
      <c r="V33" s="499"/>
      <c r="W33" s="499"/>
      <c r="X33" s="499"/>
      <c r="Y33" s="499"/>
      <c r="Z33" s="499"/>
      <c r="AA33" s="538"/>
      <c r="AB33" s="537"/>
      <c r="AC33" s="499"/>
      <c r="AD33" s="499"/>
      <c r="AE33" s="499"/>
      <c r="AF33" s="499"/>
      <c r="AG33" s="499"/>
      <c r="AH33" s="499"/>
      <c r="AI33" s="499"/>
      <c r="AJ33" s="537"/>
      <c r="AK33" s="499"/>
      <c r="AL33" s="499"/>
      <c r="AM33" s="499"/>
      <c r="AN33" s="499"/>
      <c r="AO33" s="499"/>
      <c r="AP33" s="499"/>
      <c r="AQ33" s="538"/>
      <c r="AR33" s="499"/>
      <c r="AS33" s="499"/>
      <c r="AT33" s="499"/>
      <c r="AU33" s="499"/>
      <c r="AV33" s="499"/>
      <c r="AW33" s="499"/>
      <c r="AX33" s="499"/>
      <c r="AY33" s="599"/>
      <c r="AZ33" s="503"/>
      <c r="BA33" s="499"/>
      <c r="BB33" s="499"/>
      <c r="BC33" s="499"/>
      <c r="BD33" s="499"/>
      <c r="BE33" s="499"/>
      <c r="BF33" s="499"/>
      <c r="BG33" s="501"/>
      <c r="BH33" s="290"/>
      <c r="BJ33" s="600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499"/>
      <c r="BV33" s="499"/>
      <c r="BW33" s="499"/>
      <c r="BX33" s="499"/>
      <c r="BY33" s="499"/>
      <c r="BZ33" s="538"/>
      <c r="CA33" s="537"/>
      <c r="CB33" s="499"/>
      <c r="CC33" s="499"/>
      <c r="CD33" s="499"/>
      <c r="CE33" s="499"/>
      <c r="CF33" s="499"/>
      <c r="CG33" s="499"/>
      <c r="CH33" s="538"/>
      <c r="CI33" s="537"/>
      <c r="CJ33" s="499"/>
      <c r="CK33" s="499"/>
      <c r="CL33" s="499"/>
      <c r="CM33" s="499"/>
      <c r="CN33" s="499"/>
      <c r="CO33" s="499"/>
      <c r="CP33" s="499"/>
      <c r="CQ33" s="537"/>
      <c r="CR33" s="499"/>
      <c r="CS33" s="499"/>
      <c r="CT33" s="499"/>
      <c r="CU33" s="499"/>
      <c r="CV33" s="499"/>
      <c r="CW33" s="499"/>
      <c r="CX33" s="538"/>
      <c r="CY33" s="499"/>
      <c r="CZ33" s="499"/>
      <c r="DA33" s="499"/>
      <c r="DB33" s="499"/>
      <c r="DC33" s="499"/>
      <c r="DD33" s="499"/>
      <c r="DE33" s="499"/>
      <c r="DF33" s="599"/>
      <c r="DG33" s="503"/>
      <c r="DH33" s="499"/>
      <c r="DI33" s="499"/>
      <c r="DJ33" s="499"/>
      <c r="DK33" s="499"/>
      <c r="DL33" s="499"/>
      <c r="DM33" s="499"/>
      <c r="DN33" s="501"/>
    </row>
    <row r="34" spans="1:118" s="2" customFormat="1" ht="12" customHeight="1">
      <c r="A34" s="74"/>
      <c r="B34" s="593">
        <f>BD36</f>
        <v>1</v>
      </c>
      <c r="C34" s="563" t="s">
        <v>1667</v>
      </c>
      <c r="D34" s="424"/>
      <c r="E34" s="424"/>
      <c r="F34" s="384" t="str">
        <f>IF(C34="ここに","",VLOOKUP(C34,'登録ナンバー'!$A$1:$C$620,2,0))</f>
        <v>金武</v>
      </c>
      <c r="G34" s="368"/>
      <c r="H34" s="368"/>
      <c r="I34" s="368"/>
      <c r="J34" s="368"/>
      <c r="K34" s="368" t="s">
        <v>837</v>
      </c>
      <c r="L34" s="368" t="s">
        <v>836</v>
      </c>
      <c r="M34" s="368"/>
      <c r="N34" s="368"/>
      <c r="O34" s="368" t="s">
        <v>1668</v>
      </c>
      <c r="P34" s="368"/>
      <c r="Q34" s="368"/>
      <c r="R34" s="368"/>
      <c r="S34" s="355"/>
      <c r="T34" s="550">
        <f>IF(AB34="","丸付き数字は試合順番","")</f>
      </c>
      <c r="U34" s="551"/>
      <c r="V34" s="551"/>
      <c r="W34" s="551"/>
      <c r="X34" s="551"/>
      <c r="Y34" s="551"/>
      <c r="Z34" s="551"/>
      <c r="AA34" s="552"/>
      <c r="AB34" s="340" t="s">
        <v>1831</v>
      </c>
      <c r="AC34" s="430"/>
      <c r="AD34" s="430"/>
      <c r="AE34" s="430" t="s">
        <v>838</v>
      </c>
      <c r="AF34" s="430">
        <v>2</v>
      </c>
      <c r="AG34" s="430"/>
      <c r="AH34" s="430"/>
      <c r="AI34" s="508"/>
      <c r="AJ34" s="340" t="s">
        <v>1831</v>
      </c>
      <c r="AK34" s="430"/>
      <c r="AL34" s="430"/>
      <c r="AM34" s="430" t="s">
        <v>838</v>
      </c>
      <c r="AN34" s="368">
        <v>2</v>
      </c>
      <c r="AO34" s="368"/>
      <c r="AP34" s="368"/>
      <c r="AQ34" s="355"/>
      <c r="AR34" s="340" t="s">
        <v>1831</v>
      </c>
      <c r="AS34" s="430"/>
      <c r="AT34" s="430" t="s">
        <v>838</v>
      </c>
      <c r="AU34" s="430">
        <v>2</v>
      </c>
      <c r="AV34" s="430"/>
      <c r="AW34" s="430"/>
      <c r="AX34" s="430"/>
      <c r="AY34" s="433"/>
      <c r="AZ34" s="510">
        <f>IF(COUNTIF(BA34:BC47,1)=2,"直接対決","")</f>
      </c>
      <c r="BA34" s="506">
        <f>COUNTIF(T34:AY35,"⑥")+COUNTIF(T34:AY35,"⑦")</f>
        <v>3</v>
      </c>
      <c r="BB34" s="506"/>
      <c r="BC34" s="506"/>
      <c r="BD34" s="489">
        <f>IF(AB34="","",3-BA34)</f>
        <v>0</v>
      </c>
      <c r="BE34" s="489"/>
      <c r="BF34" s="489"/>
      <c r="BG34" s="490"/>
      <c r="BH34" s="75"/>
      <c r="BI34" s="593">
        <f>DK36</f>
        <v>1</v>
      </c>
      <c r="BJ34" s="529" t="s">
        <v>1664</v>
      </c>
      <c r="BK34" s="350"/>
      <c r="BL34" s="350"/>
      <c r="BM34" s="535" t="str">
        <f>IF(BJ34="ここに","",VLOOKUP(BJ34,'登録ナンバー'!$A$1:$C$620,2,0))</f>
        <v>吉野</v>
      </c>
      <c r="BN34" s="535"/>
      <c r="BO34" s="535"/>
      <c r="BP34" s="535"/>
      <c r="BQ34" s="535"/>
      <c r="BR34" s="533" t="s">
        <v>837</v>
      </c>
      <c r="BS34" s="535" t="s">
        <v>1841</v>
      </c>
      <c r="BT34" s="535"/>
      <c r="BU34" s="535"/>
      <c r="BV34" s="535" t="str">
        <f>IF(BS34="ここに","",VLOOKUP(BS34,'登録ナンバー'!$A$1:$C$620,2,0))</f>
        <v>津田</v>
      </c>
      <c r="BW34" s="535"/>
      <c r="BX34" s="535"/>
      <c r="BY34" s="535"/>
      <c r="BZ34" s="535"/>
      <c r="CA34" s="550">
        <f>IF(CI34="","丸付き数字は試合順番","")</f>
      </c>
      <c r="CB34" s="551"/>
      <c r="CC34" s="551"/>
      <c r="CD34" s="551"/>
      <c r="CE34" s="551"/>
      <c r="CF34" s="551"/>
      <c r="CG34" s="551"/>
      <c r="CH34" s="552"/>
      <c r="CI34" s="340" t="s">
        <v>1832</v>
      </c>
      <c r="CJ34" s="430"/>
      <c r="CK34" s="430"/>
      <c r="CL34" s="430" t="s">
        <v>838</v>
      </c>
      <c r="CM34" s="430">
        <v>3</v>
      </c>
      <c r="CN34" s="430"/>
      <c r="CO34" s="430"/>
      <c r="CP34" s="508"/>
      <c r="CQ34" s="340" t="s">
        <v>1832</v>
      </c>
      <c r="CR34" s="430"/>
      <c r="CS34" s="430"/>
      <c r="CT34" s="430" t="s">
        <v>838</v>
      </c>
      <c r="CU34" s="368">
        <v>1</v>
      </c>
      <c r="CV34" s="368"/>
      <c r="CW34" s="368"/>
      <c r="CX34" s="355"/>
      <c r="CY34" s="340" t="s">
        <v>1832</v>
      </c>
      <c r="CZ34" s="430"/>
      <c r="DA34" s="430" t="s">
        <v>838</v>
      </c>
      <c r="DB34" s="430">
        <v>0</v>
      </c>
      <c r="DC34" s="430"/>
      <c r="DD34" s="430"/>
      <c r="DE34" s="430"/>
      <c r="DF34" s="433"/>
      <c r="DG34" s="510">
        <f>IF(COUNTIF(DH34:DJ47,1)=2,"直接対決","")</f>
      </c>
      <c r="DH34" s="506">
        <f>COUNTIF(CA34:DF35,"⑥")+COUNTIF(CA34:DF35,"⑦")</f>
        <v>3</v>
      </c>
      <c r="DI34" s="506"/>
      <c r="DJ34" s="506"/>
      <c r="DK34" s="489">
        <f>IF(CI34="","",3-DH34)</f>
        <v>0</v>
      </c>
      <c r="DL34" s="489"/>
      <c r="DM34" s="489"/>
      <c r="DN34" s="490"/>
    </row>
    <row r="35" spans="1:118" s="2" customFormat="1" ht="12" customHeight="1">
      <c r="A35" s="74"/>
      <c r="B35" s="593"/>
      <c r="C35" s="562"/>
      <c r="D35" s="426"/>
      <c r="E35" s="426"/>
      <c r="F35" s="369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56"/>
      <c r="T35" s="553"/>
      <c r="U35" s="554"/>
      <c r="V35" s="554"/>
      <c r="W35" s="554"/>
      <c r="X35" s="554"/>
      <c r="Y35" s="554"/>
      <c r="Z35" s="554"/>
      <c r="AA35" s="555"/>
      <c r="AB35" s="431"/>
      <c r="AC35" s="432"/>
      <c r="AD35" s="432"/>
      <c r="AE35" s="432"/>
      <c r="AF35" s="432"/>
      <c r="AG35" s="432"/>
      <c r="AH35" s="432"/>
      <c r="AI35" s="509"/>
      <c r="AJ35" s="431"/>
      <c r="AK35" s="432"/>
      <c r="AL35" s="432"/>
      <c r="AM35" s="432"/>
      <c r="AN35" s="383"/>
      <c r="AO35" s="383"/>
      <c r="AP35" s="383"/>
      <c r="AQ35" s="356"/>
      <c r="AR35" s="431"/>
      <c r="AS35" s="432"/>
      <c r="AT35" s="432"/>
      <c r="AU35" s="432"/>
      <c r="AV35" s="432"/>
      <c r="AW35" s="432"/>
      <c r="AX35" s="432"/>
      <c r="AY35" s="434"/>
      <c r="AZ35" s="511"/>
      <c r="BA35" s="507"/>
      <c r="BB35" s="507"/>
      <c r="BC35" s="507"/>
      <c r="BD35" s="491"/>
      <c r="BE35" s="491"/>
      <c r="BF35" s="491"/>
      <c r="BG35" s="492"/>
      <c r="BH35" s="75"/>
      <c r="BI35" s="593"/>
      <c r="BJ35" s="530"/>
      <c r="BK35" s="342"/>
      <c r="BL35" s="342"/>
      <c r="BM35" s="536"/>
      <c r="BN35" s="536"/>
      <c r="BO35" s="536"/>
      <c r="BP35" s="536"/>
      <c r="BQ35" s="536"/>
      <c r="BR35" s="533"/>
      <c r="BS35" s="536"/>
      <c r="BT35" s="536"/>
      <c r="BU35" s="536"/>
      <c r="BV35" s="536"/>
      <c r="BW35" s="536"/>
      <c r="BX35" s="536"/>
      <c r="BY35" s="536"/>
      <c r="BZ35" s="536"/>
      <c r="CA35" s="553"/>
      <c r="CB35" s="554"/>
      <c r="CC35" s="554"/>
      <c r="CD35" s="554"/>
      <c r="CE35" s="554"/>
      <c r="CF35" s="554"/>
      <c r="CG35" s="554"/>
      <c r="CH35" s="555"/>
      <c r="CI35" s="431"/>
      <c r="CJ35" s="432"/>
      <c r="CK35" s="432"/>
      <c r="CL35" s="432"/>
      <c r="CM35" s="432"/>
      <c r="CN35" s="432"/>
      <c r="CO35" s="432"/>
      <c r="CP35" s="509"/>
      <c r="CQ35" s="431"/>
      <c r="CR35" s="432"/>
      <c r="CS35" s="432"/>
      <c r="CT35" s="432"/>
      <c r="CU35" s="383"/>
      <c r="CV35" s="383"/>
      <c r="CW35" s="383"/>
      <c r="CX35" s="356"/>
      <c r="CY35" s="431"/>
      <c r="CZ35" s="432"/>
      <c r="DA35" s="432"/>
      <c r="DB35" s="432"/>
      <c r="DC35" s="432"/>
      <c r="DD35" s="432"/>
      <c r="DE35" s="432"/>
      <c r="DF35" s="434"/>
      <c r="DG35" s="511"/>
      <c r="DH35" s="507"/>
      <c r="DI35" s="507"/>
      <c r="DJ35" s="507"/>
      <c r="DK35" s="491"/>
      <c r="DL35" s="491"/>
      <c r="DM35" s="491"/>
      <c r="DN35" s="492"/>
    </row>
    <row r="36" spans="1:118" ht="21" customHeight="1">
      <c r="A36" s="16"/>
      <c r="C36" s="562" t="s">
        <v>841</v>
      </c>
      <c r="D36" s="426"/>
      <c r="E36" s="426"/>
      <c r="F36" s="369" t="str">
        <f>IF(C34="ここに","",VLOOKUP(C34,'登録ナンバー'!$A$1:$D$620,4,0))</f>
        <v>グリフィンズ</v>
      </c>
      <c r="G36" s="383"/>
      <c r="H36" s="383"/>
      <c r="I36" s="383"/>
      <c r="J36" s="383"/>
      <c r="K36" s="334"/>
      <c r="L36" s="383" t="s">
        <v>841</v>
      </c>
      <c r="M36" s="383"/>
      <c r="N36" s="383"/>
      <c r="O36" s="383" t="s">
        <v>1397</v>
      </c>
      <c r="P36" s="383"/>
      <c r="Q36" s="383"/>
      <c r="R36" s="383"/>
      <c r="S36" s="356"/>
      <c r="T36" s="553"/>
      <c r="U36" s="554"/>
      <c r="V36" s="554"/>
      <c r="W36" s="554"/>
      <c r="X36" s="554"/>
      <c r="Y36" s="554"/>
      <c r="Z36" s="554"/>
      <c r="AA36" s="555"/>
      <c r="AB36" s="431"/>
      <c r="AC36" s="432"/>
      <c r="AD36" s="432"/>
      <c r="AE36" s="432"/>
      <c r="AF36" s="432"/>
      <c r="AG36" s="432"/>
      <c r="AH36" s="432"/>
      <c r="AI36" s="509"/>
      <c r="AJ36" s="431"/>
      <c r="AK36" s="432"/>
      <c r="AL36" s="432"/>
      <c r="AM36" s="432"/>
      <c r="AN36" s="383"/>
      <c r="AO36" s="383"/>
      <c r="AP36" s="383"/>
      <c r="AQ36" s="356"/>
      <c r="AR36" s="431"/>
      <c r="AS36" s="432"/>
      <c r="AT36" s="432"/>
      <c r="AU36" s="432"/>
      <c r="AV36" s="432"/>
      <c r="AW36" s="432"/>
      <c r="AX36" s="432"/>
      <c r="AY36" s="434"/>
      <c r="AZ36" s="485"/>
      <c r="BA36" s="504"/>
      <c r="BB36" s="504"/>
      <c r="BC36" s="504"/>
      <c r="BD36" s="493">
        <f>IF(AZ36&lt;&gt;"",RANK(AZ36,AZ36:AZ49),RANK(BA34,BA34:BC47))</f>
        <v>1</v>
      </c>
      <c r="BE36" s="493"/>
      <c r="BF36" s="493"/>
      <c r="BG36" s="494"/>
      <c r="BH36" s="62"/>
      <c r="BJ36" s="530" t="s">
        <v>841</v>
      </c>
      <c r="BK36" s="342"/>
      <c r="BL36" s="342"/>
      <c r="BM36" s="611" t="str">
        <f>IF(BJ34="ここに","",VLOOKUP(BJ34,'登録ナンバー'!$A$1:$D$620,4,0))</f>
        <v>Kテニス</v>
      </c>
      <c r="BN36" s="536"/>
      <c r="BO36" s="536"/>
      <c r="BP36" s="536"/>
      <c r="BQ36" s="536"/>
      <c r="BR36" s="378"/>
      <c r="BS36" s="533" t="s">
        <v>841</v>
      </c>
      <c r="BT36" s="533"/>
      <c r="BU36" s="533"/>
      <c r="BV36" s="536" t="str">
        <f>IF(BS34="ここに","",VLOOKUP(BS34,'登録ナンバー'!$A$1:$D$620,4,0))</f>
        <v>Kテニス</v>
      </c>
      <c r="BW36" s="536"/>
      <c r="BX36" s="536"/>
      <c r="BY36" s="536"/>
      <c r="BZ36" s="612"/>
      <c r="CA36" s="553"/>
      <c r="CB36" s="554"/>
      <c r="CC36" s="554"/>
      <c r="CD36" s="554"/>
      <c r="CE36" s="554"/>
      <c r="CF36" s="554"/>
      <c r="CG36" s="554"/>
      <c r="CH36" s="555"/>
      <c r="CI36" s="431"/>
      <c r="CJ36" s="432"/>
      <c r="CK36" s="432"/>
      <c r="CL36" s="432"/>
      <c r="CM36" s="432"/>
      <c r="CN36" s="432"/>
      <c r="CO36" s="432"/>
      <c r="CP36" s="509"/>
      <c r="CQ36" s="431"/>
      <c r="CR36" s="432"/>
      <c r="CS36" s="432"/>
      <c r="CT36" s="432"/>
      <c r="CU36" s="383"/>
      <c r="CV36" s="383"/>
      <c r="CW36" s="383"/>
      <c r="CX36" s="356"/>
      <c r="CY36" s="431"/>
      <c r="CZ36" s="432"/>
      <c r="DA36" s="432"/>
      <c r="DB36" s="432"/>
      <c r="DC36" s="432"/>
      <c r="DD36" s="432"/>
      <c r="DE36" s="432"/>
      <c r="DF36" s="434"/>
      <c r="DG36" s="485">
        <f>IF(OR(COUNTIF(DH34:DJ47,2)=3,COUNTIF(DH34:DJ47,1)=3),(CI37+CQ37+CY37)/(CI37+CQ37+CM34+CU34+DD34+CY37),"")</f>
      </c>
      <c r="DH36" s="504"/>
      <c r="DI36" s="504"/>
      <c r="DJ36" s="504"/>
      <c r="DK36" s="493">
        <f>IF(DG36&lt;&gt;"",RANK(DG36,DG36:DG49),RANK(DH34,DH34:DJ47))</f>
        <v>1</v>
      </c>
      <c r="DL36" s="493"/>
      <c r="DM36" s="493"/>
      <c r="DN36" s="494"/>
    </row>
    <row r="37" spans="1:118" ht="3" customHeight="1" hidden="1">
      <c r="A37" s="16"/>
      <c r="C37" s="562"/>
      <c r="D37" s="426"/>
      <c r="E37" s="426"/>
      <c r="F37" s="334"/>
      <c r="G37" s="334"/>
      <c r="H37" s="334"/>
      <c r="I37" s="334"/>
      <c r="J37" s="334"/>
      <c r="K37" s="334"/>
      <c r="L37" s="564"/>
      <c r="M37" s="383"/>
      <c r="N37" s="383"/>
      <c r="O37" s="334"/>
      <c r="P37" s="334"/>
      <c r="Q37" s="334"/>
      <c r="R37" s="371"/>
      <c r="S37" s="372"/>
      <c r="T37" s="556"/>
      <c r="U37" s="557"/>
      <c r="V37" s="557"/>
      <c r="W37" s="557"/>
      <c r="X37" s="557"/>
      <c r="Y37" s="557"/>
      <c r="Z37" s="557"/>
      <c r="AA37" s="558"/>
      <c r="AB37" s="373" t="str">
        <f>IF(AB34="⑦","7",IF(AB34="⑥","6",AB34))</f>
        <v>6</v>
      </c>
      <c r="AC37" s="374"/>
      <c r="AD37" s="374"/>
      <c r="AE37" s="374"/>
      <c r="AF37" s="374"/>
      <c r="AG37" s="374"/>
      <c r="AH37" s="374"/>
      <c r="AI37" s="375"/>
      <c r="AJ37" s="373" t="str">
        <f>IF(AJ34="⑦","7",IF(AJ34="⑥","6",AJ34))</f>
        <v>6</v>
      </c>
      <c r="AK37" s="374"/>
      <c r="AL37" s="374"/>
      <c r="AM37" s="374"/>
      <c r="AN37" s="374"/>
      <c r="AO37" s="374"/>
      <c r="AP37" s="374"/>
      <c r="AQ37" s="375"/>
      <c r="AR37" s="374" t="str">
        <f>IF(AR34="⑦","7",IF(AR34="⑥","6",AR34))</f>
        <v>6</v>
      </c>
      <c r="AS37" s="374"/>
      <c r="AT37" s="374"/>
      <c r="AU37" s="376"/>
      <c r="AV37" s="334"/>
      <c r="AW37" s="376"/>
      <c r="AX37" s="376"/>
      <c r="AY37" s="377"/>
      <c r="AZ37" s="486"/>
      <c r="BA37" s="505"/>
      <c r="BB37" s="505"/>
      <c r="BC37" s="505"/>
      <c r="BD37" s="495"/>
      <c r="BE37" s="495"/>
      <c r="BF37" s="495"/>
      <c r="BG37" s="496"/>
      <c r="BH37" s="62"/>
      <c r="BJ37" s="531"/>
      <c r="BK37" s="532"/>
      <c r="BL37" s="532"/>
      <c r="BM37" s="378"/>
      <c r="BN37" s="378"/>
      <c r="BO37" s="378"/>
      <c r="BP37" s="378"/>
      <c r="BQ37" s="379"/>
      <c r="BR37" s="378"/>
      <c r="BS37" s="534"/>
      <c r="BT37" s="534"/>
      <c r="BU37" s="534"/>
      <c r="BV37" s="378"/>
      <c r="BW37" s="378"/>
      <c r="BX37" s="378"/>
      <c r="BY37" s="380"/>
      <c r="BZ37" s="381"/>
      <c r="CA37" s="556"/>
      <c r="CB37" s="557"/>
      <c r="CC37" s="557"/>
      <c r="CD37" s="557"/>
      <c r="CE37" s="557"/>
      <c r="CF37" s="557"/>
      <c r="CG37" s="557"/>
      <c r="CH37" s="558"/>
      <c r="CI37" s="373" t="str">
        <f>IF(CI34="⑦","7",IF(CI34="⑥","6",CI34))</f>
        <v>6</v>
      </c>
      <c r="CJ37" s="374"/>
      <c r="CK37" s="374"/>
      <c r="CL37" s="374"/>
      <c r="CM37" s="374"/>
      <c r="CN37" s="374"/>
      <c r="CO37" s="374"/>
      <c r="CP37" s="375"/>
      <c r="CQ37" s="373" t="str">
        <f>IF(CQ34="⑦","7",IF(CQ34="⑥","6",CQ34))</f>
        <v>6</v>
      </c>
      <c r="CR37" s="374"/>
      <c r="CS37" s="374"/>
      <c r="CT37" s="374"/>
      <c r="CU37" s="374"/>
      <c r="CV37" s="374"/>
      <c r="CW37" s="374"/>
      <c r="CX37" s="375"/>
      <c r="CY37" s="374" t="str">
        <f>IF(CY34="⑦","7",IF(CY34="⑥","6",CY34))</f>
        <v>6</v>
      </c>
      <c r="CZ37" s="374"/>
      <c r="DA37" s="374"/>
      <c r="DB37" s="376"/>
      <c r="DC37" s="334"/>
      <c r="DD37" s="376"/>
      <c r="DE37" s="376"/>
      <c r="DF37" s="377"/>
      <c r="DG37" s="486"/>
      <c r="DH37" s="505"/>
      <c r="DI37" s="505"/>
      <c r="DJ37" s="505"/>
      <c r="DK37" s="495"/>
      <c r="DL37" s="495"/>
      <c r="DM37" s="495"/>
      <c r="DN37" s="496"/>
    </row>
    <row r="38" spans="1:118" ht="12" customHeight="1">
      <c r="A38" s="16"/>
      <c r="B38" s="593">
        <f>BD40</f>
        <v>2</v>
      </c>
      <c r="C38" s="563" t="s">
        <v>1671</v>
      </c>
      <c r="D38" s="424"/>
      <c r="E38" s="424"/>
      <c r="F38" s="358" t="str">
        <f>IF(C38="ここに","",VLOOKUP(C38,'登録ナンバー'!$A$1:$C$620,2,0))</f>
        <v>清水</v>
      </c>
      <c r="G38" s="359"/>
      <c r="H38" s="359"/>
      <c r="I38" s="359"/>
      <c r="J38" s="359"/>
      <c r="K38" s="359" t="s">
        <v>837</v>
      </c>
      <c r="L38" s="359" t="s">
        <v>1672</v>
      </c>
      <c r="M38" s="359"/>
      <c r="N38" s="359"/>
      <c r="O38" s="359" t="str">
        <f>IF(L38="ここに","",VLOOKUP(L38,'登録ナンバー'!$A$1:$C$620,2,0))</f>
        <v>永松</v>
      </c>
      <c r="P38" s="359"/>
      <c r="Q38" s="359"/>
      <c r="R38" s="359"/>
      <c r="S38" s="364"/>
      <c r="T38" s="358">
        <f>IF(AB34="","",IF(AND(AF34=6,AB34&lt;&gt;"⑦"),"⑥",IF(AF34=7,"⑦",AF34)))</f>
        <v>2</v>
      </c>
      <c r="U38" s="359"/>
      <c r="V38" s="359"/>
      <c r="W38" s="359" t="s">
        <v>838</v>
      </c>
      <c r="X38" s="359">
        <f>IF(AB34="","",IF(AB34="⑥",6,IF(AB34="⑦",7,AB34)))</f>
        <v>6</v>
      </c>
      <c r="Y38" s="359"/>
      <c r="Z38" s="359"/>
      <c r="AA38" s="364"/>
      <c r="AB38" s="541"/>
      <c r="AC38" s="542"/>
      <c r="AD38" s="542"/>
      <c r="AE38" s="542"/>
      <c r="AF38" s="542"/>
      <c r="AG38" s="542"/>
      <c r="AH38" s="542"/>
      <c r="AI38" s="543"/>
      <c r="AJ38" s="346">
        <v>4</v>
      </c>
      <c r="AK38" s="347"/>
      <c r="AL38" s="347"/>
      <c r="AM38" s="347" t="s">
        <v>838</v>
      </c>
      <c r="AN38" s="359">
        <v>6</v>
      </c>
      <c r="AO38" s="359"/>
      <c r="AP38" s="359"/>
      <c r="AQ38" s="364"/>
      <c r="AR38" s="346" t="s">
        <v>1832</v>
      </c>
      <c r="AS38" s="347"/>
      <c r="AT38" s="347" t="s">
        <v>838</v>
      </c>
      <c r="AU38" s="347">
        <v>2</v>
      </c>
      <c r="AV38" s="347"/>
      <c r="AW38" s="347"/>
      <c r="AX38" s="347"/>
      <c r="AY38" s="338"/>
      <c r="AZ38" s="460">
        <f>IF(COUNTIF(BA34:BC49,1)=2,"直接対決","")</f>
      </c>
      <c r="BA38" s="468">
        <f>COUNTIF(T38:AY39,"⑥")+COUNTIF(T38:AY39,"⑦")</f>
        <v>1</v>
      </c>
      <c r="BB38" s="468"/>
      <c r="BC38" s="468"/>
      <c r="BD38" s="470">
        <f>IF(AB34="","",3-BA38)</f>
        <v>2</v>
      </c>
      <c r="BE38" s="470"/>
      <c r="BF38" s="470"/>
      <c r="BG38" s="471"/>
      <c r="BH38" s="75"/>
      <c r="BI38" s="593">
        <f>DK40</f>
        <v>4</v>
      </c>
      <c r="BJ38" s="529" t="s">
        <v>1675</v>
      </c>
      <c r="BK38" s="350"/>
      <c r="BL38" s="350"/>
      <c r="BM38" s="350" t="str">
        <f>IF(BJ38="ここに","",VLOOKUP(BJ38,'登録ナンバー'!$A$1:$C$620,2,0))</f>
        <v>藤井</v>
      </c>
      <c r="BN38" s="350"/>
      <c r="BO38" s="350"/>
      <c r="BP38" s="350"/>
      <c r="BQ38" s="350"/>
      <c r="BR38" s="559" t="s">
        <v>837</v>
      </c>
      <c r="BS38" s="350" t="s">
        <v>1689</v>
      </c>
      <c r="BT38" s="350"/>
      <c r="BU38" s="350"/>
      <c r="BV38" s="350" t="str">
        <f>IF(BS38="ここに","",VLOOKUP(BS38,'登録ナンバー'!$A$1:$C$620,2,0))</f>
        <v>岩崎</v>
      </c>
      <c r="BW38" s="350"/>
      <c r="BX38" s="350"/>
      <c r="BY38" s="350"/>
      <c r="BZ38" s="341"/>
      <c r="CA38" s="344">
        <f>IF(CI34="","",IF(AND(CM34=6,CI34&lt;&gt;"⑦"),"⑥",IF(CM34=7,"⑦",CM34)))</f>
        <v>3</v>
      </c>
      <c r="CB38" s="424"/>
      <c r="CC38" s="424"/>
      <c r="CD38" s="424" t="s">
        <v>838</v>
      </c>
      <c r="CE38" s="424">
        <f>IF(CI34="","",IF(CI34="⑥",6,IF(CI34="⑦",7,CI34)))</f>
        <v>6</v>
      </c>
      <c r="CF38" s="424"/>
      <c r="CG38" s="424"/>
      <c r="CH38" s="425"/>
      <c r="CI38" s="601"/>
      <c r="CJ38" s="602"/>
      <c r="CK38" s="602"/>
      <c r="CL38" s="602"/>
      <c r="CM38" s="602"/>
      <c r="CN38" s="602"/>
      <c r="CO38" s="602"/>
      <c r="CP38" s="603"/>
      <c r="CQ38" s="436">
        <v>5</v>
      </c>
      <c r="CR38" s="351"/>
      <c r="CS38" s="351"/>
      <c r="CT38" s="351" t="s">
        <v>838</v>
      </c>
      <c r="CU38" s="424">
        <v>6</v>
      </c>
      <c r="CV38" s="424"/>
      <c r="CW38" s="424"/>
      <c r="CX38" s="425"/>
      <c r="CY38" s="436">
        <v>4</v>
      </c>
      <c r="CZ38" s="351"/>
      <c r="DA38" s="351" t="s">
        <v>838</v>
      </c>
      <c r="DB38" s="351">
        <v>6</v>
      </c>
      <c r="DC38" s="351"/>
      <c r="DD38" s="351"/>
      <c r="DE38" s="351"/>
      <c r="DF38" s="352"/>
      <c r="DG38" s="450">
        <f>IF(COUNTIF(DH34:DJ49,1)=2,"直接対決","")</f>
      </c>
      <c r="DH38" s="497">
        <f>COUNTIF(CA38:DF39,"⑥")+COUNTIF(CA38:DF39,"⑦")</f>
        <v>0</v>
      </c>
      <c r="DI38" s="497"/>
      <c r="DJ38" s="497"/>
      <c r="DK38" s="456">
        <f>IF(CI34="","",3-DH38)</f>
        <v>3</v>
      </c>
      <c r="DL38" s="456"/>
      <c r="DM38" s="456"/>
      <c r="DN38" s="457"/>
    </row>
    <row r="39" spans="1:118" ht="12" customHeight="1">
      <c r="A39" s="16"/>
      <c r="B39" s="593"/>
      <c r="C39" s="562"/>
      <c r="D39" s="426"/>
      <c r="E39" s="426"/>
      <c r="F39" s="360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5"/>
      <c r="T39" s="360"/>
      <c r="U39" s="361"/>
      <c r="V39" s="361"/>
      <c r="W39" s="361"/>
      <c r="X39" s="361"/>
      <c r="Y39" s="361"/>
      <c r="Z39" s="361"/>
      <c r="AA39" s="365"/>
      <c r="AB39" s="544"/>
      <c r="AC39" s="545"/>
      <c r="AD39" s="545"/>
      <c r="AE39" s="545"/>
      <c r="AF39" s="545"/>
      <c r="AG39" s="545"/>
      <c r="AH39" s="545"/>
      <c r="AI39" s="546"/>
      <c r="AJ39" s="336"/>
      <c r="AK39" s="337"/>
      <c r="AL39" s="337"/>
      <c r="AM39" s="337"/>
      <c r="AN39" s="361"/>
      <c r="AO39" s="361"/>
      <c r="AP39" s="361"/>
      <c r="AQ39" s="365"/>
      <c r="AR39" s="336"/>
      <c r="AS39" s="337"/>
      <c r="AT39" s="337"/>
      <c r="AU39" s="337"/>
      <c r="AV39" s="337"/>
      <c r="AW39" s="337"/>
      <c r="AX39" s="337"/>
      <c r="AY39" s="339"/>
      <c r="AZ39" s="461"/>
      <c r="BA39" s="469"/>
      <c r="BB39" s="469"/>
      <c r="BC39" s="469"/>
      <c r="BD39" s="472"/>
      <c r="BE39" s="472"/>
      <c r="BF39" s="472"/>
      <c r="BG39" s="473"/>
      <c r="BH39" s="75"/>
      <c r="BI39" s="593"/>
      <c r="BJ39" s="530"/>
      <c r="BK39" s="342"/>
      <c r="BL39" s="342"/>
      <c r="BM39" s="342"/>
      <c r="BN39" s="342"/>
      <c r="BO39" s="342"/>
      <c r="BP39" s="342"/>
      <c r="BQ39" s="342"/>
      <c r="BR39" s="559"/>
      <c r="BS39" s="342"/>
      <c r="BT39" s="342"/>
      <c r="BU39" s="342"/>
      <c r="BV39" s="342"/>
      <c r="BW39" s="342"/>
      <c r="BX39" s="342"/>
      <c r="BY39" s="342"/>
      <c r="BZ39" s="343"/>
      <c r="CA39" s="345"/>
      <c r="CB39" s="426"/>
      <c r="CC39" s="426"/>
      <c r="CD39" s="426"/>
      <c r="CE39" s="426"/>
      <c r="CF39" s="426"/>
      <c r="CG39" s="426"/>
      <c r="CH39" s="427"/>
      <c r="CI39" s="604"/>
      <c r="CJ39" s="605"/>
      <c r="CK39" s="605"/>
      <c r="CL39" s="605"/>
      <c r="CM39" s="605"/>
      <c r="CN39" s="605"/>
      <c r="CO39" s="605"/>
      <c r="CP39" s="606"/>
      <c r="CQ39" s="437"/>
      <c r="CR39" s="348"/>
      <c r="CS39" s="348"/>
      <c r="CT39" s="348"/>
      <c r="CU39" s="426"/>
      <c r="CV39" s="426"/>
      <c r="CW39" s="426"/>
      <c r="CX39" s="427"/>
      <c r="CY39" s="437"/>
      <c r="CZ39" s="348"/>
      <c r="DA39" s="348"/>
      <c r="DB39" s="348"/>
      <c r="DC39" s="348"/>
      <c r="DD39" s="348"/>
      <c r="DE39" s="348"/>
      <c r="DF39" s="349"/>
      <c r="DG39" s="451"/>
      <c r="DH39" s="498"/>
      <c r="DI39" s="498"/>
      <c r="DJ39" s="498"/>
      <c r="DK39" s="458"/>
      <c r="DL39" s="458"/>
      <c r="DM39" s="458"/>
      <c r="DN39" s="459"/>
    </row>
    <row r="40" spans="1:118" ht="18" customHeight="1">
      <c r="A40" s="16"/>
      <c r="B40" s="16"/>
      <c r="C40" s="562" t="s">
        <v>841</v>
      </c>
      <c r="D40" s="426"/>
      <c r="E40" s="426"/>
      <c r="F40" s="360" t="str">
        <f>IF(C38="ここに","",VLOOKUP(C38,'登録ナンバー'!$A$1:$D$620,4,0))</f>
        <v>フレンズ</v>
      </c>
      <c r="G40" s="361"/>
      <c r="H40" s="361"/>
      <c r="I40" s="361"/>
      <c r="J40" s="361"/>
      <c r="K40" s="335"/>
      <c r="L40" s="361" t="s">
        <v>841</v>
      </c>
      <c r="M40" s="361"/>
      <c r="N40" s="361"/>
      <c r="O40" s="361" t="str">
        <f>IF(L38="ここに","",VLOOKUP(L38,'登録ナンバー'!$A$1:$D$620,4,0))</f>
        <v>Kテニス</v>
      </c>
      <c r="P40" s="361"/>
      <c r="Q40" s="361"/>
      <c r="R40" s="361"/>
      <c r="S40" s="365"/>
      <c r="T40" s="360"/>
      <c r="U40" s="361"/>
      <c r="V40" s="361"/>
      <c r="W40" s="361"/>
      <c r="X40" s="361"/>
      <c r="Y40" s="361"/>
      <c r="Z40" s="361"/>
      <c r="AA40" s="365"/>
      <c r="AB40" s="544"/>
      <c r="AC40" s="545"/>
      <c r="AD40" s="545"/>
      <c r="AE40" s="545"/>
      <c r="AF40" s="545"/>
      <c r="AG40" s="545"/>
      <c r="AH40" s="545"/>
      <c r="AI40" s="546"/>
      <c r="AJ40" s="336"/>
      <c r="AK40" s="337"/>
      <c r="AL40" s="337"/>
      <c r="AM40" s="337"/>
      <c r="AN40" s="361"/>
      <c r="AO40" s="361"/>
      <c r="AP40" s="361"/>
      <c r="AQ40" s="365"/>
      <c r="AR40" s="336"/>
      <c r="AS40" s="337"/>
      <c r="AT40" s="337"/>
      <c r="AU40" s="337"/>
      <c r="AV40" s="337"/>
      <c r="AW40" s="337"/>
      <c r="AX40" s="337"/>
      <c r="AY40" s="339"/>
      <c r="AZ40" s="442">
        <v>0.461</v>
      </c>
      <c r="BA40" s="361"/>
      <c r="BB40" s="361"/>
      <c r="BC40" s="361"/>
      <c r="BD40" s="464">
        <v>2</v>
      </c>
      <c r="BE40" s="464"/>
      <c r="BF40" s="464"/>
      <c r="BG40" s="465"/>
      <c r="BH40" s="76"/>
      <c r="BI40" s="16"/>
      <c r="BJ40" s="530" t="s">
        <v>841</v>
      </c>
      <c r="BK40" s="342"/>
      <c r="BL40" s="342"/>
      <c r="BM40" s="342" t="str">
        <f>IF(BJ38="ここに","",VLOOKUP(BJ38,'登録ナンバー'!$A$1:$D$620,4,0))</f>
        <v>グリフィンズ</v>
      </c>
      <c r="BN40" s="342"/>
      <c r="BO40" s="342"/>
      <c r="BP40" s="342"/>
      <c r="BQ40" s="342"/>
      <c r="BR40" s="125"/>
      <c r="BS40" s="559" t="s">
        <v>841</v>
      </c>
      <c r="BT40" s="559"/>
      <c r="BU40" s="559"/>
      <c r="BV40" s="342" t="str">
        <f>IF(BS38="ここに","",VLOOKUP(BS38,'登録ナンバー'!$A$1:$D$620,4,0))</f>
        <v>グリフィンズ</v>
      </c>
      <c r="BW40" s="342"/>
      <c r="BX40" s="342"/>
      <c r="BY40" s="342"/>
      <c r="BZ40" s="343"/>
      <c r="CA40" s="345"/>
      <c r="CB40" s="426"/>
      <c r="CC40" s="426"/>
      <c r="CD40" s="426"/>
      <c r="CE40" s="426"/>
      <c r="CF40" s="426"/>
      <c r="CG40" s="426"/>
      <c r="CH40" s="427"/>
      <c r="CI40" s="604"/>
      <c r="CJ40" s="605"/>
      <c r="CK40" s="605"/>
      <c r="CL40" s="605"/>
      <c r="CM40" s="605"/>
      <c r="CN40" s="605"/>
      <c r="CO40" s="605"/>
      <c r="CP40" s="606"/>
      <c r="CQ40" s="437"/>
      <c r="CR40" s="348"/>
      <c r="CS40" s="348"/>
      <c r="CT40" s="348"/>
      <c r="CU40" s="426"/>
      <c r="CV40" s="426"/>
      <c r="CW40" s="426"/>
      <c r="CX40" s="427"/>
      <c r="CY40" s="437"/>
      <c r="CZ40" s="348"/>
      <c r="DA40" s="348"/>
      <c r="DB40" s="348"/>
      <c r="DC40" s="348"/>
      <c r="DD40" s="348"/>
      <c r="DE40" s="348"/>
      <c r="DF40" s="349"/>
      <c r="DG40" s="487">
        <f>IF(OR(COUNTIF(DH34:DJ47,2)=3,COUNTIF(DH34:DJ47,1)=3),(CA41+CQ41+CY41)/(CA41+CQ41+CE38+CU38+DD38+CY41),"")</f>
      </c>
      <c r="DH40" s="426"/>
      <c r="DI40" s="426"/>
      <c r="DJ40" s="426"/>
      <c r="DK40" s="452">
        <f>IF(DG40&lt;&gt;"",RANK(DG40,DG36:DG49),RANK(DH38,DH34:DJ47))</f>
        <v>4</v>
      </c>
      <c r="DL40" s="452"/>
      <c r="DM40" s="452"/>
      <c r="DN40" s="453"/>
    </row>
    <row r="41" spans="1:118" ht="3.75" customHeight="1" hidden="1">
      <c r="A41" s="16"/>
      <c r="B41" s="16"/>
      <c r="C41" s="562"/>
      <c r="D41" s="426"/>
      <c r="E41" s="426"/>
      <c r="F41" s="335"/>
      <c r="G41" s="335"/>
      <c r="H41" s="335"/>
      <c r="I41" s="335"/>
      <c r="J41" s="335"/>
      <c r="K41" s="335"/>
      <c r="L41" s="578"/>
      <c r="M41" s="361"/>
      <c r="N41" s="361"/>
      <c r="O41" s="335"/>
      <c r="P41" s="335"/>
      <c r="Q41" s="335"/>
      <c r="R41" s="391"/>
      <c r="S41" s="392"/>
      <c r="T41" s="388">
        <f>IF(T38="⑦","7",IF(T38="⑥","6",T38))</f>
        <v>2</v>
      </c>
      <c r="U41" s="391"/>
      <c r="V41" s="391"/>
      <c r="W41" s="391"/>
      <c r="X41" s="391"/>
      <c r="Y41" s="391"/>
      <c r="Z41" s="391"/>
      <c r="AA41" s="392"/>
      <c r="AB41" s="547"/>
      <c r="AC41" s="548"/>
      <c r="AD41" s="548"/>
      <c r="AE41" s="548"/>
      <c r="AF41" s="548"/>
      <c r="AG41" s="548"/>
      <c r="AH41" s="548"/>
      <c r="AI41" s="549"/>
      <c r="AJ41" s="388">
        <f>IF(AJ38="⑦","7",IF(AJ38="⑥","6",AJ38))</f>
        <v>4</v>
      </c>
      <c r="AK41" s="393"/>
      <c r="AL41" s="393"/>
      <c r="AM41" s="393"/>
      <c r="AN41" s="393"/>
      <c r="AO41" s="393"/>
      <c r="AP41" s="393"/>
      <c r="AQ41" s="394"/>
      <c r="AR41" s="393" t="str">
        <f>IF(AR38="⑦","7",IF(AR38="⑥","6",AR38))</f>
        <v>6</v>
      </c>
      <c r="AS41" s="393"/>
      <c r="AT41" s="393"/>
      <c r="AU41" s="393"/>
      <c r="AV41" s="393"/>
      <c r="AW41" s="393"/>
      <c r="AX41" s="393"/>
      <c r="AY41" s="395"/>
      <c r="AZ41" s="525"/>
      <c r="BA41" s="528"/>
      <c r="BB41" s="528"/>
      <c r="BC41" s="528"/>
      <c r="BD41" s="526"/>
      <c r="BE41" s="526"/>
      <c r="BF41" s="526"/>
      <c r="BG41" s="527"/>
      <c r="BH41" s="76"/>
      <c r="BI41" s="16"/>
      <c r="BJ41" s="531"/>
      <c r="BK41" s="532"/>
      <c r="BL41" s="532"/>
      <c r="BM41" s="125"/>
      <c r="BN41" s="125"/>
      <c r="BO41" s="125"/>
      <c r="BP41" s="125"/>
      <c r="BQ41" s="134"/>
      <c r="BR41" s="125"/>
      <c r="BS41" s="532"/>
      <c r="BT41" s="532"/>
      <c r="BU41" s="532"/>
      <c r="BV41" s="125"/>
      <c r="BW41" s="125"/>
      <c r="BX41" s="125"/>
      <c r="BY41" s="126"/>
      <c r="BZ41" s="293"/>
      <c r="CA41" s="35">
        <f>IF(CA38="⑦","7",IF(CA38="⑥","6",CA38))</f>
        <v>3</v>
      </c>
      <c r="CB41" s="11"/>
      <c r="CC41" s="11"/>
      <c r="CD41" s="11"/>
      <c r="CE41" s="11"/>
      <c r="CF41" s="11"/>
      <c r="CG41" s="11"/>
      <c r="CH41" s="39"/>
      <c r="CI41" s="607"/>
      <c r="CJ41" s="608"/>
      <c r="CK41" s="608"/>
      <c r="CL41" s="608"/>
      <c r="CM41" s="608"/>
      <c r="CN41" s="608"/>
      <c r="CO41" s="608"/>
      <c r="CP41" s="609"/>
      <c r="CQ41" s="35">
        <f>IF(CQ38="⑦","7",IF(CQ38="⑥","6",CQ38))</f>
        <v>5</v>
      </c>
      <c r="CR41" s="36"/>
      <c r="CS41" s="36"/>
      <c r="CT41" s="36"/>
      <c r="CU41" s="36"/>
      <c r="CV41" s="36"/>
      <c r="CW41" s="36"/>
      <c r="CX41" s="37"/>
      <c r="CY41" s="36">
        <f>IF(CY38="⑦","7",IF(CY38="⑥","6",CY38))</f>
        <v>4</v>
      </c>
      <c r="CZ41" s="36"/>
      <c r="DA41" s="36"/>
      <c r="DB41" s="36"/>
      <c r="DC41" s="36"/>
      <c r="DD41" s="36"/>
      <c r="DE41" s="36"/>
      <c r="DF41" s="44"/>
      <c r="DG41" s="488"/>
      <c r="DH41" s="499"/>
      <c r="DI41" s="499"/>
      <c r="DJ41" s="499"/>
      <c r="DK41" s="454"/>
      <c r="DL41" s="454"/>
      <c r="DM41" s="454"/>
      <c r="DN41" s="455"/>
    </row>
    <row r="42" spans="1:118" ht="12" customHeight="1">
      <c r="A42" s="16"/>
      <c r="B42" s="593">
        <f>BD44</f>
        <v>3</v>
      </c>
      <c r="C42" s="563" t="s">
        <v>1682</v>
      </c>
      <c r="D42" s="424"/>
      <c r="E42" s="424"/>
      <c r="F42" s="344" t="str">
        <f>IF(C42="ここに","",VLOOKUP(C42,'登録ナンバー'!$A$1:$C$620,2,0))</f>
        <v>川上</v>
      </c>
      <c r="G42" s="424"/>
      <c r="H42" s="424"/>
      <c r="I42" s="424"/>
      <c r="J42" s="424"/>
      <c r="K42" s="424" t="s">
        <v>837</v>
      </c>
      <c r="L42" s="424" t="s">
        <v>1683</v>
      </c>
      <c r="M42" s="424"/>
      <c r="N42" s="424"/>
      <c r="O42" s="424" t="str">
        <f>IF(L42="ここに","",VLOOKUP(L42,'登録ナンバー'!$A$1:$C$620,2,0))</f>
        <v>吉岡</v>
      </c>
      <c r="P42" s="424"/>
      <c r="Q42" s="424"/>
      <c r="R42" s="424"/>
      <c r="S42" s="425"/>
      <c r="T42" s="344">
        <f>IF(AN34="","",IF(AND(AN34=6,AJ34&lt;&gt;"⑦"),"⑥",IF(AN34=7,"⑦",AN34)))</f>
        <v>2</v>
      </c>
      <c r="U42" s="424"/>
      <c r="V42" s="424"/>
      <c r="W42" s="424" t="s">
        <v>838</v>
      </c>
      <c r="X42" s="424">
        <f>IF(AN34="","",IF(AJ34="⑥",6,IF(AJ34="⑦",7,AJ34)))</f>
        <v>6</v>
      </c>
      <c r="Y42" s="424"/>
      <c r="Z42" s="424"/>
      <c r="AA42" s="425"/>
      <c r="AB42" s="344" t="s">
        <v>1830</v>
      </c>
      <c r="AC42" s="424"/>
      <c r="AD42" s="424"/>
      <c r="AE42" s="424" t="s">
        <v>838</v>
      </c>
      <c r="AF42" s="424">
        <f>IF(AN38="","",IF(AJ38="⑥",6,IF(AJ38="⑦",7,AJ38)))</f>
        <v>4</v>
      </c>
      <c r="AG42" s="424"/>
      <c r="AH42" s="424"/>
      <c r="AI42" s="425"/>
      <c r="AJ42" s="476"/>
      <c r="AK42" s="477"/>
      <c r="AL42" s="477"/>
      <c r="AM42" s="477"/>
      <c r="AN42" s="477"/>
      <c r="AO42" s="477"/>
      <c r="AP42" s="477"/>
      <c r="AQ42" s="478"/>
      <c r="AR42" s="436">
        <v>5</v>
      </c>
      <c r="AS42" s="351"/>
      <c r="AT42" s="351" t="s">
        <v>838</v>
      </c>
      <c r="AU42" s="351">
        <v>6</v>
      </c>
      <c r="AV42" s="351"/>
      <c r="AW42" s="351"/>
      <c r="AX42" s="351"/>
      <c r="AY42" s="352"/>
      <c r="AZ42" s="450">
        <f>IF(COUNTIF(BA34:BC49,1)=2,"直接対決","")</f>
      </c>
      <c r="BA42" s="497">
        <f>COUNTIF(T42:AY43,"⑥")+COUNTIF(T42:AY43,"⑦")</f>
        <v>1</v>
      </c>
      <c r="BB42" s="497"/>
      <c r="BC42" s="497"/>
      <c r="BD42" s="456">
        <f>IF(AB34="","",3-BA42)</f>
        <v>2</v>
      </c>
      <c r="BE42" s="456"/>
      <c r="BF42" s="456"/>
      <c r="BG42" s="457"/>
      <c r="BH42" s="75"/>
      <c r="BI42" s="593">
        <f>DK44</f>
        <v>3</v>
      </c>
      <c r="BJ42" s="529" t="s">
        <v>1681</v>
      </c>
      <c r="BK42" s="350"/>
      <c r="BL42" s="350"/>
      <c r="BM42" s="350" t="str">
        <f>IF(BJ42="ここに","",VLOOKUP(BJ42,'登録ナンバー'!$A$1:$C$620,2,0))</f>
        <v>片岡</v>
      </c>
      <c r="BN42" s="350"/>
      <c r="BO42" s="350"/>
      <c r="BP42" s="350"/>
      <c r="BQ42" s="350"/>
      <c r="BR42" s="559" t="s">
        <v>837</v>
      </c>
      <c r="BS42" s="350" t="s">
        <v>1690</v>
      </c>
      <c r="BT42" s="350"/>
      <c r="BU42" s="350"/>
      <c r="BV42" s="350" t="str">
        <f>IF(BS42="ここに","",VLOOKUP(BS42,'登録ナンバー'!$A$1:$C$620,2,0))</f>
        <v>廣部</v>
      </c>
      <c r="BW42" s="350"/>
      <c r="BX42" s="350"/>
      <c r="BY42" s="350"/>
      <c r="BZ42" s="341"/>
      <c r="CA42" s="344">
        <f>IF(CU34="","",IF(AND(CU34=6,CQ34&lt;&gt;"⑦"),"⑥",IF(CU34=7,"⑦",CU34)))</f>
        <v>1</v>
      </c>
      <c r="CB42" s="424"/>
      <c r="CC42" s="424"/>
      <c r="CD42" s="424" t="s">
        <v>838</v>
      </c>
      <c r="CE42" s="424">
        <f>IF(CU34="","",IF(CQ34="⑥",6,IF(CQ34="⑦",7,CQ34)))</f>
        <v>6</v>
      </c>
      <c r="CF42" s="424"/>
      <c r="CG42" s="424"/>
      <c r="CH42" s="425"/>
      <c r="CI42" s="344" t="s">
        <v>1832</v>
      </c>
      <c r="CJ42" s="424"/>
      <c r="CK42" s="424"/>
      <c r="CL42" s="424" t="s">
        <v>838</v>
      </c>
      <c r="CM42" s="424">
        <f>IF(CU38="","",IF(CQ38="⑥",6,IF(CQ38="⑦",7,CQ38)))</f>
        <v>5</v>
      </c>
      <c r="CN42" s="424"/>
      <c r="CO42" s="424"/>
      <c r="CP42" s="425"/>
      <c r="CQ42" s="476"/>
      <c r="CR42" s="477"/>
      <c r="CS42" s="477"/>
      <c r="CT42" s="477"/>
      <c r="CU42" s="477"/>
      <c r="CV42" s="477"/>
      <c r="CW42" s="477"/>
      <c r="CX42" s="478"/>
      <c r="CY42" s="436">
        <v>3</v>
      </c>
      <c r="CZ42" s="351"/>
      <c r="DA42" s="351" t="s">
        <v>838</v>
      </c>
      <c r="DB42" s="351">
        <v>6</v>
      </c>
      <c r="DC42" s="351"/>
      <c r="DD42" s="351"/>
      <c r="DE42" s="351"/>
      <c r="DF42" s="352"/>
      <c r="DG42" s="450">
        <f>IF(COUNTIF(DH34:DJ49,1)=2,"直接対決","")</f>
      </c>
      <c r="DH42" s="497">
        <f>COUNTIF(CA42:DF43,"⑥")+COUNTIF(CA42:DF43,"⑦")</f>
        <v>1</v>
      </c>
      <c r="DI42" s="497"/>
      <c r="DJ42" s="497"/>
      <c r="DK42" s="456">
        <f>IF(CI34="","",3-DH42)</f>
        <v>2</v>
      </c>
      <c r="DL42" s="456"/>
      <c r="DM42" s="456"/>
      <c r="DN42" s="457"/>
    </row>
    <row r="43" spans="1:118" ht="12" customHeight="1">
      <c r="A43" s="16"/>
      <c r="B43" s="593"/>
      <c r="C43" s="562"/>
      <c r="D43" s="426"/>
      <c r="E43" s="426"/>
      <c r="F43" s="34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7"/>
      <c r="T43" s="345"/>
      <c r="U43" s="426"/>
      <c r="V43" s="426"/>
      <c r="W43" s="426"/>
      <c r="X43" s="426"/>
      <c r="Y43" s="426"/>
      <c r="Z43" s="426"/>
      <c r="AA43" s="427"/>
      <c r="AB43" s="345"/>
      <c r="AC43" s="426"/>
      <c r="AD43" s="426"/>
      <c r="AE43" s="426"/>
      <c r="AF43" s="426"/>
      <c r="AG43" s="426"/>
      <c r="AH43" s="426"/>
      <c r="AI43" s="427"/>
      <c r="AJ43" s="479"/>
      <c r="AK43" s="480"/>
      <c r="AL43" s="480"/>
      <c r="AM43" s="480"/>
      <c r="AN43" s="480"/>
      <c r="AO43" s="480"/>
      <c r="AP43" s="480"/>
      <c r="AQ43" s="481"/>
      <c r="AR43" s="437"/>
      <c r="AS43" s="348"/>
      <c r="AT43" s="348"/>
      <c r="AU43" s="348"/>
      <c r="AV43" s="348"/>
      <c r="AW43" s="348"/>
      <c r="AX43" s="348"/>
      <c r="AY43" s="349"/>
      <c r="AZ43" s="451"/>
      <c r="BA43" s="498"/>
      <c r="BB43" s="498"/>
      <c r="BC43" s="498"/>
      <c r="BD43" s="458"/>
      <c r="BE43" s="458"/>
      <c r="BF43" s="458"/>
      <c r="BG43" s="459"/>
      <c r="BH43" s="75"/>
      <c r="BI43" s="593"/>
      <c r="BJ43" s="530"/>
      <c r="BK43" s="342"/>
      <c r="BL43" s="342"/>
      <c r="BM43" s="342"/>
      <c r="BN43" s="342"/>
      <c r="BO43" s="342"/>
      <c r="BP43" s="342"/>
      <c r="BQ43" s="342"/>
      <c r="BR43" s="559"/>
      <c r="BS43" s="342"/>
      <c r="BT43" s="342"/>
      <c r="BU43" s="342"/>
      <c r="BV43" s="342"/>
      <c r="BW43" s="342"/>
      <c r="BX43" s="342"/>
      <c r="BY43" s="342"/>
      <c r="BZ43" s="343"/>
      <c r="CA43" s="345"/>
      <c r="CB43" s="426"/>
      <c r="CC43" s="426"/>
      <c r="CD43" s="426"/>
      <c r="CE43" s="426"/>
      <c r="CF43" s="426"/>
      <c r="CG43" s="426"/>
      <c r="CH43" s="427"/>
      <c r="CI43" s="345"/>
      <c r="CJ43" s="426"/>
      <c r="CK43" s="426"/>
      <c r="CL43" s="426"/>
      <c r="CM43" s="426"/>
      <c r="CN43" s="426"/>
      <c r="CO43" s="426"/>
      <c r="CP43" s="427"/>
      <c r="CQ43" s="479"/>
      <c r="CR43" s="480"/>
      <c r="CS43" s="480"/>
      <c r="CT43" s="480"/>
      <c r="CU43" s="480"/>
      <c r="CV43" s="480"/>
      <c r="CW43" s="480"/>
      <c r="CX43" s="481"/>
      <c r="CY43" s="437"/>
      <c r="CZ43" s="348"/>
      <c r="DA43" s="348"/>
      <c r="DB43" s="348"/>
      <c r="DC43" s="348"/>
      <c r="DD43" s="348"/>
      <c r="DE43" s="348"/>
      <c r="DF43" s="349"/>
      <c r="DG43" s="451"/>
      <c r="DH43" s="498"/>
      <c r="DI43" s="498"/>
      <c r="DJ43" s="498"/>
      <c r="DK43" s="458"/>
      <c r="DL43" s="458"/>
      <c r="DM43" s="458"/>
      <c r="DN43" s="459"/>
    </row>
    <row r="44" spans="1:118" ht="15" customHeight="1">
      <c r="A44" s="16"/>
      <c r="B44" s="16"/>
      <c r="C44" s="562" t="s">
        <v>841</v>
      </c>
      <c r="D44" s="426"/>
      <c r="E44" s="426"/>
      <c r="F44" s="345" t="str">
        <f>IF(C42="ここに","",VLOOKUP(C42,'登録ナンバー'!$A$1:$D$620,4,0))</f>
        <v>村田ＴＣ</v>
      </c>
      <c r="G44" s="426"/>
      <c r="H44" s="426"/>
      <c r="I44" s="426"/>
      <c r="J44" s="426"/>
      <c r="K44" s="2"/>
      <c r="L44" s="426" t="s">
        <v>841</v>
      </c>
      <c r="M44" s="426"/>
      <c r="N44" s="426"/>
      <c r="O44" s="426" t="str">
        <f>IF(L42="ここに","",VLOOKUP(L42,'登録ナンバー'!$A$1:$D$620,4,0))</f>
        <v>フレンズ</v>
      </c>
      <c r="P44" s="426"/>
      <c r="Q44" s="426"/>
      <c r="R44" s="426"/>
      <c r="S44" s="427"/>
      <c r="T44" s="345"/>
      <c r="U44" s="426"/>
      <c r="V44" s="426"/>
      <c r="W44" s="426"/>
      <c r="X44" s="426"/>
      <c r="Y44" s="426"/>
      <c r="Z44" s="426"/>
      <c r="AA44" s="427"/>
      <c r="AB44" s="345"/>
      <c r="AC44" s="426"/>
      <c r="AD44" s="426"/>
      <c r="AE44" s="426"/>
      <c r="AF44" s="426"/>
      <c r="AG44" s="426"/>
      <c r="AH44" s="426"/>
      <c r="AI44" s="427"/>
      <c r="AJ44" s="479"/>
      <c r="AK44" s="480"/>
      <c r="AL44" s="480"/>
      <c r="AM44" s="480"/>
      <c r="AN44" s="480"/>
      <c r="AO44" s="480"/>
      <c r="AP44" s="480"/>
      <c r="AQ44" s="481"/>
      <c r="AR44" s="437"/>
      <c r="AS44" s="348"/>
      <c r="AT44" s="435"/>
      <c r="AU44" s="348"/>
      <c r="AV44" s="348"/>
      <c r="AW44" s="348"/>
      <c r="AX44" s="348"/>
      <c r="AY44" s="349"/>
      <c r="AZ44" s="487">
        <v>0.448</v>
      </c>
      <c r="BA44" s="474"/>
      <c r="BB44" s="474"/>
      <c r="BC44" s="474"/>
      <c r="BD44" s="452">
        <v>3</v>
      </c>
      <c r="BE44" s="452"/>
      <c r="BF44" s="452"/>
      <c r="BG44" s="453"/>
      <c r="BH44" s="76"/>
      <c r="BI44" s="16"/>
      <c r="BJ44" s="530" t="s">
        <v>841</v>
      </c>
      <c r="BK44" s="342"/>
      <c r="BL44" s="342"/>
      <c r="BM44" s="342" t="str">
        <f>IF(BJ42="ここに","",VLOOKUP(BJ42,'登録ナンバー'!$A$1:$D$620,4,0))</f>
        <v>うさかめ</v>
      </c>
      <c r="BN44" s="342"/>
      <c r="BO44" s="342"/>
      <c r="BP44" s="342"/>
      <c r="BQ44" s="342"/>
      <c r="BR44" s="125"/>
      <c r="BS44" s="559" t="s">
        <v>841</v>
      </c>
      <c r="BT44" s="559"/>
      <c r="BU44" s="559"/>
      <c r="BV44" s="342" t="str">
        <f>IF(BS42="ここに","",VLOOKUP(BS42,'登録ナンバー'!$A$1:$D$620,4,0))</f>
        <v>フレンズ</v>
      </c>
      <c r="BW44" s="342"/>
      <c r="BX44" s="342"/>
      <c r="BY44" s="342"/>
      <c r="BZ44" s="343"/>
      <c r="CA44" s="345"/>
      <c r="CB44" s="426"/>
      <c r="CC44" s="426"/>
      <c r="CD44" s="426"/>
      <c r="CE44" s="426"/>
      <c r="CF44" s="426"/>
      <c r="CG44" s="426"/>
      <c r="CH44" s="427"/>
      <c r="CI44" s="345"/>
      <c r="CJ44" s="426"/>
      <c r="CK44" s="426"/>
      <c r="CL44" s="426"/>
      <c r="CM44" s="426"/>
      <c r="CN44" s="426"/>
      <c r="CO44" s="426"/>
      <c r="CP44" s="427"/>
      <c r="CQ44" s="479"/>
      <c r="CR44" s="480"/>
      <c r="CS44" s="480"/>
      <c r="CT44" s="480"/>
      <c r="CU44" s="480"/>
      <c r="CV44" s="480"/>
      <c r="CW44" s="480"/>
      <c r="CX44" s="481"/>
      <c r="CY44" s="437"/>
      <c r="CZ44" s="348"/>
      <c r="DA44" s="435"/>
      <c r="DB44" s="348"/>
      <c r="DC44" s="348"/>
      <c r="DD44" s="348"/>
      <c r="DE44" s="348"/>
      <c r="DF44" s="349"/>
      <c r="DG44" s="487">
        <f>IF(OR(COUNTIF(DH34:DJ47,2)=3,COUNTIF(DH34:DJ47,1)=3),(CI45+CY45+CA45)/(CA45+CM42+CE42+DD42+CY45+CI45),"")</f>
      </c>
      <c r="DH44" s="474"/>
      <c r="DI44" s="474"/>
      <c r="DJ44" s="474"/>
      <c r="DK44" s="452">
        <f>IF(DG44&lt;&gt;"",RANK(DG44,DG36:DG49),RANK(DH42,DH34:DJ47))</f>
        <v>3</v>
      </c>
      <c r="DL44" s="452"/>
      <c r="DM44" s="452"/>
      <c r="DN44" s="453"/>
    </row>
    <row r="45" spans="1:118" ht="5.25" customHeight="1" hidden="1">
      <c r="A45" s="16"/>
      <c r="B45" s="16"/>
      <c r="C45" s="562"/>
      <c r="D45" s="426"/>
      <c r="E45" s="426"/>
      <c r="F45" s="2"/>
      <c r="G45" s="2"/>
      <c r="H45" s="2"/>
      <c r="I45" s="2"/>
      <c r="J45" s="2"/>
      <c r="K45" s="2"/>
      <c r="L45" s="562"/>
      <c r="M45" s="426"/>
      <c r="N45" s="426"/>
      <c r="O45" s="2"/>
      <c r="P45" s="2"/>
      <c r="Q45" s="2"/>
      <c r="R45" s="11"/>
      <c r="S45" s="39"/>
      <c r="T45" s="56">
        <f>IF(T42="⑦","7",IF(T42="⑥","6",T42))</f>
        <v>2</v>
      </c>
      <c r="AA45" s="24"/>
      <c r="AB45" s="56" t="str">
        <f>IF(AB42="⑦","7",IF(AB42="⑥","6",AB42))</f>
        <v>6</v>
      </c>
      <c r="AJ45" s="482"/>
      <c r="AK45" s="483"/>
      <c r="AL45" s="483"/>
      <c r="AM45" s="483"/>
      <c r="AN45" s="483"/>
      <c r="AO45" s="483"/>
      <c r="AP45" s="483"/>
      <c r="AQ45" s="484"/>
      <c r="AR45" s="36">
        <f>IF(AR42="⑦","7",IF(AR42="⑥","6",AR42))</f>
        <v>5</v>
      </c>
      <c r="AS45" s="36"/>
      <c r="AT45" s="36"/>
      <c r="AU45" s="36"/>
      <c r="AV45" s="36"/>
      <c r="AW45" s="36"/>
      <c r="AX45" s="36"/>
      <c r="AY45" s="44"/>
      <c r="AZ45" s="488"/>
      <c r="BA45" s="475"/>
      <c r="BB45" s="475"/>
      <c r="BC45" s="475"/>
      <c r="BD45" s="454"/>
      <c r="BE45" s="454"/>
      <c r="BF45" s="454"/>
      <c r="BG45" s="455"/>
      <c r="BH45" s="76"/>
      <c r="BI45" s="16"/>
      <c r="BJ45" s="531"/>
      <c r="BK45" s="532"/>
      <c r="BL45" s="532"/>
      <c r="BM45" s="125"/>
      <c r="BN45" s="125"/>
      <c r="BO45" s="125"/>
      <c r="BP45" s="125"/>
      <c r="BQ45" s="125"/>
      <c r="BR45" s="125"/>
      <c r="BS45" s="532"/>
      <c r="BT45" s="532"/>
      <c r="BU45" s="532"/>
      <c r="BV45" s="125"/>
      <c r="BW45" s="125"/>
      <c r="BX45" s="125"/>
      <c r="BY45" s="126"/>
      <c r="BZ45" s="293"/>
      <c r="CA45" s="56">
        <f>IF(CA42="⑦","7",IF(CA42="⑥","6",CA42))</f>
        <v>1</v>
      </c>
      <c r="CH45" s="24"/>
      <c r="CI45" s="56" t="str">
        <f>IF(CI42="⑦","7",IF(CI42="⑥","6",CI42))</f>
        <v>6</v>
      </c>
      <c r="CQ45" s="482"/>
      <c r="CR45" s="483"/>
      <c r="CS45" s="483"/>
      <c r="CT45" s="483"/>
      <c r="CU45" s="483"/>
      <c r="CV45" s="483"/>
      <c r="CW45" s="483"/>
      <c r="CX45" s="484"/>
      <c r="CY45" s="36">
        <f>IF(CY42="⑦","7",IF(CY42="⑥","6",CY42))</f>
        <v>3</v>
      </c>
      <c r="CZ45" s="36"/>
      <c r="DA45" s="36"/>
      <c r="DB45" s="36"/>
      <c r="DC45" s="36"/>
      <c r="DD45" s="36"/>
      <c r="DE45" s="36"/>
      <c r="DF45" s="44"/>
      <c r="DG45" s="488"/>
      <c r="DH45" s="475"/>
      <c r="DI45" s="475"/>
      <c r="DJ45" s="475"/>
      <c r="DK45" s="454"/>
      <c r="DL45" s="454"/>
      <c r="DM45" s="454"/>
      <c r="DN45" s="455"/>
    </row>
    <row r="46" spans="1:118" ht="12" customHeight="1">
      <c r="A46" s="16"/>
      <c r="B46" s="593">
        <f>BD48</f>
        <v>4</v>
      </c>
      <c r="C46" s="563" t="s">
        <v>1676</v>
      </c>
      <c r="D46" s="424"/>
      <c r="E46" s="424"/>
      <c r="F46" s="344" t="str">
        <f>IF(C46="ここに","",VLOOKUP(C46,'登録ナンバー'!$A$1:$C$620,2,0))</f>
        <v>八木</v>
      </c>
      <c r="G46" s="424"/>
      <c r="H46" s="424"/>
      <c r="I46" s="424"/>
      <c r="J46" s="424"/>
      <c r="K46" s="424" t="s">
        <v>837</v>
      </c>
      <c r="L46" s="424" t="s">
        <v>1677</v>
      </c>
      <c r="M46" s="424"/>
      <c r="N46" s="424"/>
      <c r="O46" s="424" t="str">
        <f>IF(L46="ここに","",VLOOKUP(L46,'登録ナンバー'!$A$1:$C$620,2,0))</f>
        <v>木村</v>
      </c>
      <c r="P46" s="424"/>
      <c r="Q46" s="424"/>
      <c r="R46" s="424"/>
      <c r="S46" s="425"/>
      <c r="T46" s="344">
        <v>2</v>
      </c>
      <c r="U46" s="424"/>
      <c r="V46" s="424"/>
      <c r="W46" s="424" t="s">
        <v>838</v>
      </c>
      <c r="X46" s="424">
        <f>IF(AU34="","",IF(AR34="⑥",6,IF(AR34="⑦",7,AR34)))</f>
        <v>6</v>
      </c>
      <c r="Y46" s="424"/>
      <c r="Z46" s="424"/>
      <c r="AA46" s="425"/>
      <c r="AB46" s="344">
        <v>2</v>
      </c>
      <c r="AC46" s="424"/>
      <c r="AD46" s="424"/>
      <c r="AE46" s="424" t="s">
        <v>838</v>
      </c>
      <c r="AF46" s="424">
        <f>IF(AU38="","",IF(AR38="⑥",6,IF(AR38="⑦",7,AR38)))</f>
        <v>6</v>
      </c>
      <c r="AG46" s="424"/>
      <c r="AH46" s="424"/>
      <c r="AI46" s="425"/>
      <c r="AJ46" s="344" t="s">
        <v>1832</v>
      </c>
      <c r="AK46" s="424"/>
      <c r="AL46" s="424"/>
      <c r="AM46" s="424" t="s">
        <v>838</v>
      </c>
      <c r="AN46" s="424">
        <f>IF(AU42="","",IF(AR42="⑥",6,IF(AR42="⑦",7,AR42)))</f>
        <v>5</v>
      </c>
      <c r="AO46" s="424"/>
      <c r="AP46" s="424"/>
      <c r="AQ46" s="425"/>
      <c r="AR46" s="476"/>
      <c r="AS46" s="477"/>
      <c r="AT46" s="477"/>
      <c r="AU46" s="477"/>
      <c r="AV46" s="477"/>
      <c r="AW46" s="477"/>
      <c r="AX46" s="477"/>
      <c r="AY46" s="515"/>
      <c r="AZ46" s="450">
        <f>IF(COUNTIF(BA34:BC47,1)=2,"直接対決","")</f>
      </c>
      <c r="BA46" s="497">
        <f>COUNTIF(T46:AQ47,"⑥")+COUNTIF(T46:AQ47,"⑦")</f>
        <v>1</v>
      </c>
      <c r="BB46" s="497"/>
      <c r="BC46" s="497"/>
      <c r="BD46" s="456">
        <f>IF(AB34="","",3-BA46)</f>
        <v>2</v>
      </c>
      <c r="BE46" s="456"/>
      <c r="BF46" s="456"/>
      <c r="BG46" s="457"/>
      <c r="BH46" s="75"/>
      <c r="BI46" s="593">
        <f>DK48</f>
        <v>2</v>
      </c>
      <c r="BJ46" s="529" t="s">
        <v>1678</v>
      </c>
      <c r="BK46" s="350"/>
      <c r="BL46" s="350"/>
      <c r="BM46" s="438" t="str">
        <f>IF(BJ46="ここに","",VLOOKUP(BJ46,'登録ナンバー'!$A$1:$C$620,2,0))</f>
        <v>西川</v>
      </c>
      <c r="BN46" s="438"/>
      <c r="BO46" s="438"/>
      <c r="BP46" s="438"/>
      <c r="BQ46" s="438"/>
      <c r="BR46" s="539" t="s">
        <v>837</v>
      </c>
      <c r="BS46" s="438" t="s">
        <v>1840</v>
      </c>
      <c r="BT46" s="438"/>
      <c r="BU46" s="438"/>
      <c r="BV46" s="438" t="str">
        <f>IF(BS46="ここに","",VLOOKUP(BS46,'登録ナンバー'!$A$1:$C$620,2,0))</f>
        <v>藤原</v>
      </c>
      <c r="BW46" s="438"/>
      <c r="BX46" s="438"/>
      <c r="BY46" s="438"/>
      <c r="BZ46" s="439"/>
      <c r="CA46" s="358">
        <v>0</v>
      </c>
      <c r="CB46" s="359"/>
      <c r="CC46" s="359"/>
      <c r="CD46" s="359" t="s">
        <v>838</v>
      </c>
      <c r="CE46" s="359">
        <f>IF(DB34="","",IF(CY34="⑥",6,IF(CY34="⑦",7,CY34)))</f>
        <v>6</v>
      </c>
      <c r="CF46" s="359"/>
      <c r="CG46" s="359"/>
      <c r="CH46" s="364"/>
      <c r="CI46" s="358" t="s">
        <v>1832</v>
      </c>
      <c r="CJ46" s="359"/>
      <c r="CK46" s="359"/>
      <c r="CL46" s="359" t="s">
        <v>838</v>
      </c>
      <c r="CM46" s="359">
        <f>IF(DB38="","",IF(CY38="⑥",6,IF(CY38="⑦",7,CY38)))</f>
        <v>4</v>
      </c>
      <c r="CN46" s="359"/>
      <c r="CO46" s="359"/>
      <c r="CP46" s="364"/>
      <c r="CQ46" s="358" t="s">
        <v>1832</v>
      </c>
      <c r="CR46" s="359"/>
      <c r="CS46" s="359"/>
      <c r="CT46" s="359" t="s">
        <v>838</v>
      </c>
      <c r="CU46" s="359">
        <f>IF(DB42="","",IF(CY42="⑥",6,IF(CY42="⑦",7,CY42)))</f>
        <v>3</v>
      </c>
      <c r="CV46" s="359"/>
      <c r="CW46" s="359"/>
      <c r="CX46" s="364"/>
      <c r="CY46" s="444"/>
      <c r="CZ46" s="445"/>
      <c r="DA46" s="445"/>
      <c r="DB46" s="445"/>
      <c r="DC46" s="445"/>
      <c r="DD46" s="445"/>
      <c r="DE46" s="445"/>
      <c r="DF46" s="446"/>
      <c r="DG46" s="460">
        <f>IF(COUNTIF(DH34:DJ47,1)=2,"直接対決","")</f>
      </c>
      <c r="DH46" s="468">
        <f>COUNTIF(CA46:CX47,"⑥")+COUNTIF(CA46:CX47,"⑦")</f>
        <v>2</v>
      </c>
      <c r="DI46" s="468"/>
      <c r="DJ46" s="468"/>
      <c r="DK46" s="470">
        <f>IF(CI34="","",3-DH46)</f>
        <v>1</v>
      </c>
      <c r="DL46" s="470"/>
      <c r="DM46" s="470"/>
      <c r="DN46" s="471"/>
    </row>
    <row r="47" spans="1:118" ht="12" customHeight="1">
      <c r="A47" s="16"/>
      <c r="B47" s="500"/>
      <c r="C47" s="562"/>
      <c r="D47" s="426"/>
      <c r="E47" s="426"/>
      <c r="F47" s="345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7"/>
      <c r="T47" s="345"/>
      <c r="U47" s="426"/>
      <c r="V47" s="426"/>
      <c r="W47" s="426"/>
      <c r="X47" s="426"/>
      <c r="Y47" s="426"/>
      <c r="Z47" s="426"/>
      <c r="AA47" s="427"/>
      <c r="AB47" s="345"/>
      <c r="AC47" s="426"/>
      <c r="AD47" s="426"/>
      <c r="AE47" s="426"/>
      <c r="AF47" s="426"/>
      <c r="AG47" s="426"/>
      <c r="AH47" s="426"/>
      <c r="AI47" s="427"/>
      <c r="AJ47" s="345"/>
      <c r="AK47" s="426"/>
      <c r="AL47" s="426"/>
      <c r="AM47" s="426"/>
      <c r="AN47" s="426"/>
      <c r="AO47" s="426"/>
      <c r="AP47" s="426"/>
      <c r="AQ47" s="427"/>
      <c r="AR47" s="479"/>
      <c r="AS47" s="480"/>
      <c r="AT47" s="480"/>
      <c r="AU47" s="480"/>
      <c r="AV47" s="480"/>
      <c r="AW47" s="480"/>
      <c r="AX47" s="480"/>
      <c r="AY47" s="516"/>
      <c r="AZ47" s="451"/>
      <c r="BA47" s="498"/>
      <c r="BB47" s="498"/>
      <c r="BC47" s="498"/>
      <c r="BD47" s="458"/>
      <c r="BE47" s="458"/>
      <c r="BF47" s="458"/>
      <c r="BG47" s="459"/>
      <c r="BH47" s="75"/>
      <c r="BI47" s="500"/>
      <c r="BJ47" s="530"/>
      <c r="BK47" s="342"/>
      <c r="BL47" s="342"/>
      <c r="BM47" s="440"/>
      <c r="BN47" s="440"/>
      <c r="BO47" s="440"/>
      <c r="BP47" s="440"/>
      <c r="BQ47" s="440"/>
      <c r="BR47" s="539"/>
      <c r="BS47" s="440"/>
      <c r="BT47" s="440"/>
      <c r="BU47" s="440"/>
      <c r="BV47" s="440"/>
      <c r="BW47" s="440"/>
      <c r="BX47" s="440"/>
      <c r="BY47" s="440"/>
      <c r="BZ47" s="441"/>
      <c r="CA47" s="360"/>
      <c r="CB47" s="361"/>
      <c r="CC47" s="361"/>
      <c r="CD47" s="361"/>
      <c r="CE47" s="361"/>
      <c r="CF47" s="361"/>
      <c r="CG47" s="361"/>
      <c r="CH47" s="365"/>
      <c r="CI47" s="360"/>
      <c r="CJ47" s="361"/>
      <c r="CK47" s="361"/>
      <c r="CL47" s="361"/>
      <c r="CM47" s="361"/>
      <c r="CN47" s="361"/>
      <c r="CO47" s="361"/>
      <c r="CP47" s="365"/>
      <c r="CQ47" s="360"/>
      <c r="CR47" s="361"/>
      <c r="CS47" s="361"/>
      <c r="CT47" s="361"/>
      <c r="CU47" s="361"/>
      <c r="CV47" s="361"/>
      <c r="CW47" s="361"/>
      <c r="CX47" s="365"/>
      <c r="CY47" s="447"/>
      <c r="CZ47" s="448"/>
      <c r="DA47" s="448"/>
      <c r="DB47" s="448"/>
      <c r="DC47" s="448"/>
      <c r="DD47" s="448"/>
      <c r="DE47" s="448"/>
      <c r="DF47" s="449"/>
      <c r="DG47" s="461"/>
      <c r="DH47" s="469"/>
      <c r="DI47" s="469"/>
      <c r="DJ47" s="469"/>
      <c r="DK47" s="472"/>
      <c r="DL47" s="472"/>
      <c r="DM47" s="472"/>
      <c r="DN47" s="473"/>
    </row>
    <row r="48" spans="1:118" ht="17.25" customHeight="1" thickBot="1">
      <c r="A48" s="16"/>
      <c r="B48" s="16"/>
      <c r="C48" s="588" t="s">
        <v>841</v>
      </c>
      <c r="D48" s="428"/>
      <c r="E48" s="428"/>
      <c r="F48" s="537" t="str">
        <f>IF(C46="ここに","",VLOOKUP(C46,'登録ナンバー'!$A$1:$D$620,4,0))</f>
        <v>ぼんズ</v>
      </c>
      <c r="G48" s="499"/>
      <c r="H48" s="499"/>
      <c r="I48" s="499"/>
      <c r="J48" s="499"/>
      <c r="K48" s="2"/>
      <c r="L48" s="426" t="s">
        <v>841</v>
      </c>
      <c r="M48" s="426"/>
      <c r="N48" s="426"/>
      <c r="O48" s="426" t="str">
        <f>IF(L46="ここに","",VLOOKUP(L46,'登録ナンバー'!$A$1:$D$620,4,0))</f>
        <v>ぼんズ</v>
      </c>
      <c r="P48" s="426"/>
      <c r="Q48" s="426"/>
      <c r="R48" s="426"/>
      <c r="S48" s="427"/>
      <c r="T48" s="514"/>
      <c r="U48" s="428"/>
      <c r="V48" s="428"/>
      <c r="W48" s="426"/>
      <c r="X48" s="428"/>
      <c r="Y48" s="428"/>
      <c r="Z48" s="428"/>
      <c r="AA48" s="429"/>
      <c r="AB48" s="514"/>
      <c r="AC48" s="428"/>
      <c r="AD48" s="428"/>
      <c r="AE48" s="426"/>
      <c r="AF48" s="428"/>
      <c r="AG48" s="428"/>
      <c r="AH48" s="428"/>
      <c r="AI48" s="429"/>
      <c r="AJ48" s="514"/>
      <c r="AK48" s="428"/>
      <c r="AL48" s="428"/>
      <c r="AM48" s="428"/>
      <c r="AN48" s="428"/>
      <c r="AO48" s="428"/>
      <c r="AP48" s="428"/>
      <c r="AQ48" s="429"/>
      <c r="AR48" s="479"/>
      <c r="AS48" s="480"/>
      <c r="AT48" s="480"/>
      <c r="AU48" s="480"/>
      <c r="AV48" s="480"/>
      <c r="AW48" s="480"/>
      <c r="AX48" s="480"/>
      <c r="AY48" s="516"/>
      <c r="AZ48" s="487">
        <f>IF(OR(COUNTIF(BA34:BC47,2)=3,COUNTIF(BA34:BC47,1)=3),(AB49+AJ49+T49)/(AB49+AJ49+AF46+AN46+X46+T49),"")</f>
        <v>0.37037037037037035</v>
      </c>
      <c r="BA48" s="474"/>
      <c r="BB48" s="474"/>
      <c r="BC48" s="474"/>
      <c r="BD48" s="452">
        <v>4</v>
      </c>
      <c r="BE48" s="452"/>
      <c r="BF48" s="452"/>
      <c r="BG48" s="453"/>
      <c r="BH48" s="76"/>
      <c r="BI48" s="16"/>
      <c r="BJ48" s="530" t="s">
        <v>841</v>
      </c>
      <c r="BK48" s="342"/>
      <c r="BL48" s="342"/>
      <c r="BM48" s="440" t="str">
        <f>IF(BJ46="ここに","",VLOOKUP(BJ46,'登録ナンバー'!$A$1:$D$620,4,0))</f>
        <v>ぼんズ</v>
      </c>
      <c r="BN48" s="440"/>
      <c r="BO48" s="440"/>
      <c r="BP48" s="440"/>
      <c r="BQ48" s="440"/>
      <c r="BR48" s="382"/>
      <c r="BS48" s="539" t="s">
        <v>841</v>
      </c>
      <c r="BT48" s="539"/>
      <c r="BU48" s="539"/>
      <c r="BV48" s="440" t="str">
        <f>IF(BS46="ここに","",VLOOKUP(BS46,'登録ナンバー'!$A$1:$D$620,4,0))</f>
        <v>ぼんズ</v>
      </c>
      <c r="BW48" s="440"/>
      <c r="BX48" s="440"/>
      <c r="BY48" s="440"/>
      <c r="BZ48" s="441"/>
      <c r="CA48" s="362"/>
      <c r="CB48" s="363"/>
      <c r="CC48" s="363"/>
      <c r="CD48" s="361"/>
      <c r="CE48" s="363"/>
      <c r="CF48" s="363"/>
      <c r="CG48" s="363"/>
      <c r="CH48" s="366"/>
      <c r="CI48" s="362"/>
      <c r="CJ48" s="363"/>
      <c r="CK48" s="363"/>
      <c r="CL48" s="361"/>
      <c r="CM48" s="363"/>
      <c r="CN48" s="363"/>
      <c r="CO48" s="363"/>
      <c r="CP48" s="366"/>
      <c r="CQ48" s="362"/>
      <c r="CR48" s="363"/>
      <c r="CS48" s="363"/>
      <c r="CT48" s="363"/>
      <c r="CU48" s="363"/>
      <c r="CV48" s="363"/>
      <c r="CW48" s="363"/>
      <c r="CX48" s="366"/>
      <c r="CY48" s="447"/>
      <c r="CZ48" s="448"/>
      <c r="DA48" s="448"/>
      <c r="DB48" s="448"/>
      <c r="DC48" s="448"/>
      <c r="DD48" s="448"/>
      <c r="DE48" s="448"/>
      <c r="DF48" s="449"/>
      <c r="DG48" s="442">
        <f>IF(OR(COUNTIF(DH34:DJ47,2)=3,COUNTIF(DH34:DJ47,1)=3),(CI49+CQ49+CA49)/(CI49+CQ49+CM46+CU46+CE46+CA49),"")</f>
      </c>
      <c r="DH48" s="462"/>
      <c r="DI48" s="462"/>
      <c r="DJ48" s="462"/>
      <c r="DK48" s="464">
        <v>2</v>
      </c>
      <c r="DL48" s="464"/>
      <c r="DM48" s="464"/>
      <c r="DN48" s="465"/>
    </row>
    <row r="49" spans="2:118" ht="3.75" customHeight="1" hidden="1">
      <c r="B49" s="16"/>
      <c r="C49" s="565"/>
      <c r="D49" s="566"/>
      <c r="E49" s="566"/>
      <c r="F49" s="566"/>
      <c r="G49" s="566"/>
      <c r="H49" s="566"/>
      <c r="I49" s="566"/>
      <c r="J49" s="567"/>
      <c r="K49" s="71"/>
      <c r="L49" s="565"/>
      <c r="M49" s="566"/>
      <c r="N49" s="566"/>
      <c r="O49" s="566"/>
      <c r="P49" s="566"/>
      <c r="Q49" s="566"/>
      <c r="R49" s="566"/>
      <c r="S49" s="567"/>
      <c r="T49" s="69">
        <f>IF(T46="⑦","7",IF(T46="⑥","6",T46))</f>
        <v>2</v>
      </c>
      <c r="U49" s="55"/>
      <c r="V49" s="55"/>
      <c r="W49" s="55"/>
      <c r="X49" s="55"/>
      <c r="Y49" s="55"/>
      <c r="Z49" s="55"/>
      <c r="AA49" s="68"/>
      <c r="AB49" s="69">
        <f>IF(AB46="⑦","7",IF(AB46="⑥","6",AB46))</f>
        <v>2</v>
      </c>
      <c r="AC49" s="55"/>
      <c r="AD49" s="55"/>
      <c r="AE49" s="55"/>
      <c r="AF49" s="55"/>
      <c r="AG49" s="55"/>
      <c r="AH49" s="55"/>
      <c r="AI49" s="68"/>
      <c r="AJ49" s="69" t="str">
        <f>IF(AJ46="⑦","7",IF(AJ46="⑥","6",AJ46))</f>
        <v>6</v>
      </c>
      <c r="AK49" s="55"/>
      <c r="AL49" s="55"/>
      <c r="AM49" s="55"/>
      <c r="AN49" s="55"/>
      <c r="AO49" s="55"/>
      <c r="AP49" s="55"/>
      <c r="AQ49" s="68"/>
      <c r="AR49" s="479"/>
      <c r="AS49" s="480"/>
      <c r="AT49" s="480"/>
      <c r="AU49" s="480"/>
      <c r="AV49" s="480"/>
      <c r="AW49" s="480"/>
      <c r="AX49" s="480"/>
      <c r="AY49" s="516"/>
      <c r="AZ49" s="512"/>
      <c r="BA49" s="524"/>
      <c r="BB49" s="524"/>
      <c r="BC49" s="524"/>
      <c r="BD49" s="522"/>
      <c r="BE49" s="522"/>
      <c r="BF49" s="522"/>
      <c r="BG49" s="523"/>
      <c r="BH49" s="76"/>
      <c r="BI49" s="16"/>
      <c r="BJ49" s="531"/>
      <c r="BK49" s="532"/>
      <c r="BL49" s="532"/>
      <c r="BM49" s="382"/>
      <c r="BN49" s="382"/>
      <c r="BO49" s="382"/>
      <c r="BP49" s="382"/>
      <c r="BQ49" s="382"/>
      <c r="BR49" s="382"/>
      <c r="BS49" s="440"/>
      <c r="BT49" s="440"/>
      <c r="BU49" s="440"/>
      <c r="BV49" s="382"/>
      <c r="BW49" s="382"/>
      <c r="BX49" s="382"/>
      <c r="BY49" s="386"/>
      <c r="BZ49" s="403"/>
      <c r="CA49" s="404">
        <f>IF(CA46="⑦","7",IF(CA46="⑥","6",CA46))</f>
        <v>0</v>
      </c>
      <c r="CB49" s="405"/>
      <c r="CC49" s="405"/>
      <c r="CD49" s="405"/>
      <c r="CE49" s="405"/>
      <c r="CF49" s="405"/>
      <c r="CG49" s="405"/>
      <c r="CH49" s="406"/>
      <c r="CI49" s="404" t="str">
        <f>IF(CI46="⑦","7",IF(CI46="⑥","6",CI46))</f>
        <v>6</v>
      </c>
      <c r="CJ49" s="405"/>
      <c r="CK49" s="405"/>
      <c r="CL49" s="405"/>
      <c r="CM49" s="405"/>
      <c r="CN49" s="405"/>
      <c r="CO49" s="405"/>
      <c r="CP49" s="406"/>
      <c r="CQ49" s="404" t="str">
        <f>IF(CQ46="⑦","7",IF(CQ46="⑥","6",CQ46))</f>
        <v>6</v>
      </c>
      <c r="CR49" s="405"/>
      <c r="CS49" s="405"/>
      <c r="CT49" s="405"/>
      <c r="CU49" s="405"/>
      <c r="CV49" s="405"/>
      <c r="CW49" s="405"/>
      <c r="CX49" s="406"/>
      <c r="CY49" s="447"/>
      <c r="CZ49" s="448"/>
      <c r="DA49" s="448"/>
      <c r="DB49" s="448"/>
      <c r="DC49" s="448"/>
      <c r="DD49" s="448"/>
      <c r="DE49" s="448"/>
      <c r="DF49" s="449"/>
      <c r="DG49" s="443"/>
      <c r="DH49" s="463"/>
      <c r="DI49" s="463"/>
      <c r="DJ49" s="463"/>
      <c r="DK49" s="466"/>
      <c r="DL49" s="466"/>
      <c r="DM49" s="466"/>
      <c r="DN49" s="467"/>
    </row>
    <row r="50" spans="2:118" ht="7.5" customHeight="1"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12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13"/>
      <c r="CY50" s="13"/>
      <c r="CZ50" s="13"/>
      <c r="DA50" s="13"/>
      <c r="DB50" s="13"/>
      <c r="DC50" s="13"/>
      <c r="DD50" s="13"/>
      <c r="DE50" s="13"/>
      <c r="DF50" s="55"/>
      <c r="DG50" s="55"/>
      <c r="DH50" s="55"/>
      <c r="DI50" s="55"/>
      <c r="DJ50" s="55"/>
      <c r="DK50" s="55"/>
      <c r="DL50" s="55"/>
      <c r="DM50" s="55"/>
      <c r="DN50" s="55"/>
    </row>
    <row r="51" spans="2:96" ht="7.5" customHeight="1">
      <c r="B51" s="18"/>
      <c r="C51" s="2"/>
      <c r="D51" s="2"/>
      <c r="E51" s="2"/>
      <c r="Y51" s="2"/>
      <c r="Z51" s="12"/>
      <c r="AA51" s="12"/>
      <c r="AB51" s="12"/>
      <c r="AC51" s="12"/>
      <c r="AV51" s="598" t="s">
        <v>846</v>
      </c>
      <c r="AW51" s="598"/>
      <c r="AX51" s="598"/>
      <c r="AY51" s="598"/>
      <c r="AZ51" s="598"/>
      <c r="BA51" s="598"/>
      <c r="BB51" s="598"/>
      <c r="BC51" s="598"/>
      <c r="BD51" s="598"/>
      <c r="BE51" s="598"/>
      <c r="BF51" s="598"/>
      <c r="BG51" s="598"/>
      <c r="BI51" s="2"/>
      <c r="BX51" s="2"/>
      <c r="BY51" s="2"/>
      <c r="BZ51" s="2"/>
      <c r="CA51" s="2"/>
      <c r="CB51" s="2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</row>
    <row r="52" spans="2:94" ht="7.5" customHeight="1">
      <c r="B52" s="18"/>
      <c r="C52" s="2"/>
      <c r="D52" s="2"/>
      <c r="E52" s="2"/>
      <c r="Y52" s="2"/>
      <c r="Z52" s="12"/>
      <c r="AA52" s="12"/>
      <c r="AB52" s="12"/>
      <c r="AC52" s="12"/>
      <c r="AV52" s="598"/>
      <c r="AW52" s="598"/>
      <c r="AX52" s="598"/>
      <c r="AY52" s="598"/>
      <c r="AZ52" s="598"/>
      <c r="BA52" s="598"/>
      <c r="BB52" s="598"/>
      <c r="BC52" s="598"/>
      <c r="BD52" s="598"/>
      <c r="BE52" s="598"/>
      <c r="BF52" s="598"/>
      <c r="BG52" s="598"/>
      <c r="BV52" s="2"/>
      <c r="BW52" s="2"/>
      <c r="BX52" s="2"/>
      <c r="BY52" s="2"/>
      <c r="BZ52" s="2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2:94" ht="7.5" customHeight="1">
      <c r="B53" s="18"/>
      <c r="C53" s="2"/>
      <c r="D53" s="2"/>
      <c r="E53" s="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AC53" s="2"/>
      <c r="AS53" s="2"/>
      <c r="AT53" s="2"/>
      <c r="AU53" s="2"/>
      <c r="AV53" s="598"/>
      <c r="AW53" s="598"/>
      <c r="AX53" s="598"/>
      <c r="AY53" s="598"/>
      <c r="AZ53" s="598"/>
      <c r="BA53" s="598"/>
      <c r="BB53" s="598"/>
      <c r="BC53" s="598"/>
      <c r="BD53" s="598"/>
      <c r="BE53" s="598"/>
      <c r="BF53" s="598"/>
      <c r="BG53" s="598"/>
      <c r="BV53" s="2"/>
      <c r="BW53" s="2"/>
      <c r="BX53" s="2"/>
      <c r="BY53" s="2"/>
      <c r="BZ53" s="2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2:86" ht="7.5" customHeight="1">
      <c r="B54" s="18"/>
      <c r="C54" s="2"/>
      <c r="D54" s="2"/>
      <c r="E54" s="2"/>
      <c r="F54" s="12"/>
      <c r="G54" s="12"/>
      <c r="H54" s="12"/>
      <c r="I54" s="12"/>
      <c r="J54" s="12"/>
      <c r="K54" s="12"/>
      <c r="L54" s="12"/>
      <c r="M54" s="12"/>
      <c r="N54" s="12"/>
      <c r="O54" s="426" t="str">
        <f>IF($AB$10="","リーグ1・1位",VLOOKUP(1,$B$10:$S$24,5,FALSE))</f>
        <v>川並</v>
      </c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 t="str">
        <f>IF($AB$10="","",VLOOKUP(1,$B$10:$S$24,14,FALSE))</f>
        <v>田中</v>
      </c>
      <c r="AA54" s="426"/>
      <c r="AB54" s="426"/>
      <c r="AC54" s="426"/>
      <c r="AD54" s="426"/>
      <c r="AE54" s="426"/>
      <c r="AF54" s="426"/>
      <c r="AG54" s="426"/>
      <c r="AH54" s="426"/>
      <c r="AI54" s="426"/>
      <c r="AV54" s="383" t="s">
        <v>847</v>
      </c>
      <c r="AW54" s="383"/>
      <c r="AX54" s="383"/>
      <c r="AY54" s="383"/>
      <c r="AZ54" s="383"/>
      <c r="BA54" s="67"/>
      <c r="BB54" s="67"/>
      <c r="BC54" s="67"/>
      <c r="BD54" s="67"/>
      <c r="BE54" s="67"/>
      <c r="BF54" s="67"/>
      <c r="BG54" s="67"/>
      <c r="BM54" s="426" t="str">
        <f>IF($CI$10="","リーグ3・1位",VLOOKUP(1,$BI$10:$BZ$25,5,FALSE))</f>
        <v>遠池</v>
      </c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 t="str">
        <f>IF($CI$10="","",VLOOKUP(1,$BI$10:$BZ$25,14,FALSE))</f>
        <v>池尻</v>
      </c>
      <c r="BZ54" s="426"/>
      <c r="CA54" s="426"/>
      <c r="CB54" s="426"/>
      <c r="CC54" s="426"/>
      <c r="CD54" s="426"/>
      <c r="CE54" s="426"/>
      <c r="CF54" s="426"/>
      <c r="CG54" s="426"/>
      <c r="CH54" s="426"/>
    </row>
    <row r="55" spans="2:86" ht="7.5" customHeight="1" thickBo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21"/>
      <c r="AK55" s="21"/>
      <c r="AL55" s="21"/>
      <c r="AM55" s="21"/>
      <c r="AN55" s="21"/>
      <c r="AO55" s="21"/>
      <c r="AP55" s="21"/>
      <c r="AV55" s="383"/>
      <c r="AW55" s="383"/>
      <c r="AX55" s="383"/>
      <c r="AY55" s="383"/>
      <c r="AZ55" s="383"/>
      <c r="BA55" s="67"/>
      <c r="BB55" s="67"/>
      <c r="BC55" s="67"/>
      <c r="BD55" s="67"/>
      <c r="BE55" s="410"/>
      <c r="BF55" s="410"/>
      <c r="BG55" s="410"/>
      <c r="BH55" s="21"/>
      <c r="BI55" s="21"/>
      <c r="BJ55" s="21"/>
      <c r="BK55" s="411"/>
      <c r="BL55" s="411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</row>
    <row r="56" spans="2:112" s="2" customFormat="1" ht="7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18"/>
      <c r="AK56" s="18"/>
      <c r="AL56" s="589" t="s">
        <v>1734</v>
      </c>
      <c r="AM56" s="590"/>
      <c r="AN56" s="590"/>
      <c r="AO56" s="590"/>
      <c r="AP56" s="590"/>
      <c r="AQ56" s="407"/>
      <c r="AR56" s="18"/>
      <c r="AS56" s="18"/>
      <c r="AT56" s="18"/>
      <c r="AU56" s="18"/>
      <c r="AV56" s="383"/>
      <c r="AW56" s="383"/>
      <c r="AX56" s="383"/>
      <c r="AY56" s="383"/>
      <c r="AZ56" s="383"/>
      <c r="BA56" s="18"/>
      <c r="BB56" s="18"/>
      <c r="BC56" s="18"/>
      <c r="BD56" s="412"/>
      <c r="BE56" s="18"/>
      <c r="BF56" s="18"/>
      <c r="BG56" s="18"/>
      <c r="BH56" s="18"/>
      <c r="BI56" s="18"/>
      <c r="BJ56" s="3"/>
      <c r="BK56" s="3"/>
      <c r="BL56" s="3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L56" s="3"/>
      <c r="CM56" s="3"/>
      <c r="CN56" s="3"/>
      <c r="CO56" s="3"/>
      <c r="CP56" s="3"/>
      <c r="DD56" s="20"/>
      <c r="DE56" s="20"/>
      <c r="DF56" s="20"/>
      <c r="DG56" s="20"/>
      <c r="DH56" s="20"/>
    </row>
    <row r="57" spans="2:112" s="2" customFormat="1" ht="7.5" customHeight="1" thickBo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L57" s="590"/>
      <c r="AM57" s="590"/>
      <c r="AN57" s="590"/>
      <c r="AO57" s="590"/>
      <c r="AP57" s="590"/>
      <c r="AQ57" s="408"/>
      <c r="AR57" s="21"/>
      <c r="AS57" s="21"/>
      <c r="AT57" s="21"/>
      <c r="AU57" s="18"/>
      <c r="AV57" s="3"/>
      <c r="AW57" s="3"/>
      <c r="AX57" s="3"/>
      <c r="AY57" s="3"/>
      <c r="AZ57" s="414"/>
      <c r="BA57" s="21"/>
      <c r="BB57" s="21"/>
      <c r="BC57" s="21"/>
      <c r="BD57" s="413"/>
      <c r="BE57" s="589" t="s">
        <v>1736</v>
      </c>
      <c r="BF57" s="590"/>
      <c r="BG57" s="590"/>
      <c r="BH57" s="590"/>
      <c r="BI57" s="590"/>
      <c r="BJ57" s="590"/>
      <c r="BK57" s="296"/>
      <c r="BL57" s="29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L57" s="3"/>
      <c r="CM57" s="3"/>
      <c r="CN57" s="3"/>
      <c r="CO57" s="3"/>
      <c r="CP57" s="3"/>
      <c r="DD57" s="20"/>
      <c r="DE57" s="20"/>
      <c r="DF57" s="20"/>
      <c r="DG57" s="20"/>
      <c r="DH57" s="20"/>
    </row>
    <row r="58" spans="2:112" ht="7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426" t="str">
        <f>IF($CI$34="","リーグ4・2位",VLOOKUP(2,$BI$34:$BZ$47,5,FALSE))</f>
        <v>西川</v>
      </c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 t="str">
        <f>IF($CI$34="","",VLOOKUP(2,$BI$34:$BZ$47,14,FALSE))</f>
        <v>藤原</v>
      </c>
      <c r="AA58" s="426"/>
      <c r="AB58" s="426"/>
      <c r="AC58" s="426"/>
      <c r="AD58" s="426"/>
      <c r="AE58" s="426"/>
      <c r="AF58" s="426"/>
      <c r="AG58" s="426"/>
      <c r="AH58" s="426"/>
      <c r="AI58" s="426"/>
      <c r="AJ58" s="18"/>
      <c r="AK58" s="18"/>
      <c r="AL58" s="590"/>
      <c r="AM58" s="590"/>
      <c r="AN58" s="590"/>
      <c r="AO58" s="590"/>
      <c r="AP58" s="590"/>
      <c r="AQ58" s="389" t="s">
        <v>1843</v>
      </c>
      <c r="AR58" s="426"/>
      <c r="AS58" s="426"/>
      <c r="AT58" s="427"/>
      <c r="AU58" s="23"/>
      <c r="AV58" s="389" t="s">
        <v>1857</v>
      </c>
      <c r="AW58" s="426"/>
      <c r="AX58" s="426"/>
      <c r="AY58" s="426"/>
      <c r="AZ58" s="427"/>
      <c r="BA58" s="596" t="s">
        <v>1844</v>
      </c>
      <c r="BB58" s="591"/>
      <c r="BC58" s="591"/>
      <c r="BD58" s="597"/>
      <c r="BE58" s="590"/>
      <c r="BF58" s="590"/>
      <c r="BG58" s="590"/>
      <c r="BH58" s="590"/>
      <c r="BI58" s="590"/>
      <c r="BJ58" s="590"/>
      <c r="BK58" s="296"/>
      <c r="BL58" s="296"/>
      <c r="BM58" s="426" t="str">
        <f>IF(AB34="","リーグ2・2位",VLOOKUP(2,$B$34:$S$47,5,FALSE))</f>
        <v>清水</v>
      </c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 t="str">
        <f>IF(AB34="","",VLOOKUP(2,$B$34:$S$47,14,FALSE))</f>
        <v>永松</v>
      </c>
      <c r="BZ58" s="426" t="str">
        <f aca="true" t="shared" si="0" ref="BZ58:CH61">IF(AJ34="","リーグ2・2位",VLOOKUP(2,$B$34:$S$47,5,FALSE))</f>
        <v>清水</v>
      </c>
      <c r="CA58" s="426" t="str">
        <f t="shared" si="0"/>
        <v>リーグ2・2位</v>
      </c>
      <c r="CB58" s="426" t="str">
        <f t="shared" si="0"/>
        <v>リーグ2・2位</v>
      </c>
      <c r="CC58" s="426" t="str">
        <f t="shared" si="0"/>
        <v>清水</v>
      </c>
      <c r="CD58" s="426" t="str">
        <f t="shared" si="0"/>
        <v>清水</v>
      </c>
      <c r="CE58" s="426" t="str">
        <f t="shared" si="0"/>
        <v>リーグ2・2位</v>
      </c>
      <c r="CF58" s="426" t="str">
        <f t="shared" si="0"/>
        <v>リーグ2・2位</v>
      </c>
      <c r="CG58" s="426" t="str">
        <f t="shared" si="0"/>
        <v>リーグ2・2位</v>
      </c>
      <c r="CH58" s="426" t="str">
        <f t="shared" si="0"/>
        <v>清水</v>
      </c>
      <c r="DD58" s="20"/>
      <c r="DE58" s="20"/>
      <c r="DF58" s="20"/>
      <c r="DG58" s="20"/>
      <c r="DH58" s="20"/>
    </row>
    <row r="59" spans="2:86" ht="7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18"/>
      <c r="AK59" s="18"/>
      <c r="AL59" s="590"/>
      <c r="AM59" s="590"/>
      <c r="AN59" s="590"/>
      <c r="AO59" s="590"/>
      <c r="AP59" s="590"/>
      <c r="AQ59" s="426"/>
      <c r="AR59" s="426"/>
      <c r="AS59" s="426"/>
      <c r="AT59" s="427"/>
      <c r="AV59" s="426"/>
      <c r="AW59" s="426"/>
      <c r="AX59" s="426"/>
      <c r="AY59" s="426"/>
      <c r="AZ59" s="427"/>
      <c r="BA59" s="345"/>
      <c r="BB59" s="426"/>
      <c r="BC59" s="426"/>
      <c r="BD59" s="427"/>
      <c r="BE59" s="25"/>
      <c r="BF59" s="17"/>
      <c r="BG59" s="17"/>
      <c r="BH59" s="17"/>
      <c r="BI59" s="11"/>
      <c r="BJ59" s="11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 t="str">
        <f>IF(AI35="","リーグ2・2位",VLOOKUP(2,$B$34:$S$47,5,FALSE))</f>
        <v>リーグ2・2位</v>
      </c>
      <c r="BZ59" s="426" t="str">
        <f t="shared" si="0"/>
        <v>リーグ2・2位</v>
      </c>
      <c r="CA59" s="426" t="str">
        <f t="shared" si="0"/>
        <v>リーグ2・2位</v>
      </c>
      <c r="CB59" s="426" t="str">
        <f t="shared" si="0"/>
        <v>リーグ2・2位</v>
      </c>
      <c r="CC59" s="426" t="str">
        <f t="shared" si="0"/>
        <v>リーグ2・2位</v>
      </c>
      <c r="CD59" s="426" t="str">
        <f t="shared" si="0"/>
        <v>リーグ2・2位</v>
      </c>
      <c r="CE59" s="426" t="str">
        <f t="shared" si="0"/>
        <v>リーグ2・2位</v>
      </c>
      <c r="CF59" s="426" t="str">
        <f t="shared" si="0"/>
        <v>リーグ2・2位</v>
      </c>
      <c r="CG59" s="426" t="str">
        <f t="shared" si="0"/>
        <v>リーグ2・2位</v>
      </c>
      <c r="CH59" s="426" t="str">
        <f t="shared" si="0"/>
        <v>リーグ2・2位</v>
      </c>
    </row>
    <row r="60" spans="2:86" ht="7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26"/>
      <c r="AK60" s="26"/>
      <c r="AL60" s="48"/>
      <c r="AM60" s="48"/>
      <c r="AN60" s="48"/>
      <c r="AO60" s="48"/>
      <c r="AT60" s="24"/>
      <c r="AY60" s="9"/>
      <c r="AZ60" s="24"/>
      <c r="BE60" s="18"/>
      <c r="BF60" s="18"/>
      <c r="BG60" s="18"/>
      <c r="BH60" s="18"/>
      <c r="BI60" s="18"/>
      <c r="BJ60" s="18"/>
      <c r="BK60" s="295"/>
      <c r="BL60" s="295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 t="str">
        <f>IF(AI36="","リーグ2・2位",VLOOKUP(2,$B$34:$S$47,5,FALSE))</f>
        <v>リーグ2・2位</v>
      </c>
      <c r="BZ60" s="426" t="str">
        <f t="shared" si="0"/>
        <v>リーグ2・2位</v>
      </c>
      <c r="CA60" s="426" t="str">
        <f t="shared" si="0"/>
        <v>リーグ2・2位</v>
      </c>
      <c r="CB60" s="426" t="str">
        <f t="shared" si="0"/>
        <v>リーグ2・2位</v>
      </c>
      <c r="CC60" s="426" t="str">
        <f t="shared" si="0"/>
        <v>リーグ2・2位</v>
      </c>
      <c r="CD60" s="426" t="str">
        <f t="shared" si="0"/>
        <v>リーグ2・2位</v>
      </c>
      <c r="CE60" s="426" t="str">
        <f t="shared" si="0"/>
        <v>リーグ2・2位</v>
      </c>
      <c r="CF60" s="426" t="str">
        <f t="shared" si="0"/>
        <v>リーグ2・2位</v>
      </c>
      <c r="CG60" s="426" t="str">
        <f t="shared" si="0"/>
        <v>リーグ2・2位</v>
      </c>
      <c r="CH60" s="426" t="str">
        <f t="shared" si="0"/>
        <v>リーグ2・2位</v>
      </c>
    </row>
    <row r="61" spans="2:86" ht="7.5" customHeight="1" thickBo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18"/>
      <c r="AK61" s="18"/>
      <c r="AS61" s="426" t="s">
        <v>1738</v>
      </c>
      <c r="AT61" s="427"/>
      <c r="AU61" s="8"/>
      <c r="AV61" s="8"/>
      <c r="AW61" s="8"/>
      <c r="AX61" s="8"/>
      <c r="AY61" s="416"/>
      <c r="AZ61" s="47"/>
      <c r="BA61" s="426" t="s">
        <v>1739</v>
      </c>
      <c r="BB61" s="426"/>
      <c r="BC61" s="2"/>
      <c r="BE61" s="18"/>
      <c r="BF61" s="18"/>
      <c r="BG61" s="18"/>
      <c r="BH61" s="18"/>
      <c r="BI61" s="18"/>
      <c r="BJ61" s="18"/>
      <c r="BK61" s="295"/>
      <c r="BL61" s="295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 t="str">
        <f>IF(AI37="","リーグ2・2位",VLOOKUP(2,$B$34:$S$47,5,FALSE))</f>
        <v>リーグ2・2位</v>
      </c>
      <c r="BZ61" s="426" t="str">
        <f t="shared" si="0"/>
        <v>清水</v>
      </c>
      <c r="CA61" s="426" t="str">
        <f t="shared" si="0"/>
        <v>リーグ2・2位</v>
      </c>
      <c r="CB61" s="426" t="str">
        <f t="shared" si="0"/>
        <v>リーグ2・2位</v>
      </c>
      <c r="CC61" s="426" t="str">
        <f t="shared" si="0"/>
        <v>リーグ2・2位</v>
      </c>
      <c r="CD61" s="426" t="str">
        <f t="shared" si="0"/>
        <v>リーグ2・2位</v>
      </c>
      <c r="CE61" s="426" t="str">
        <f t="shared" si="0"/>
        <v>リーグ2・2位</v>
      </c>
      <c r="CF61" s="426" t="str">
        <f t="shared" si="0"/>
        <v>リーグ2・2位</v>
      </c>
      <c r="CG61" s="426" t="str">
        <f t="shared" si="0"/>
        <v>リーグ2・2位</v>
      </c>
      <c r="CH61" s="426" t="str">
        <f t="shared" si="0"/>
        <v>清水</v>
      </c>
    </row>
    <row r="62" spans="2:86" ht="7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426" t="str">
        <f>IF($CI$10="","リーグ3・2位",VLOOKUP(2,$BI$10:$BZ$23,5,FALSE))</f>
        <v>成宮</v>
      </c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 t="str">
        <f>IF($CI$10="","",VLOOKUP(2,$BI$10:$BZ$23,14,FALSE))</f>
        <v>筒井</v>
      </c>
      <c r="AA62" s="426"/>
      <c r="AB62" s="426"/>
      <c r="AC62" s="426"/>
      <c r="AD62" s="426"/>
      <c r="AE62" s="426"/>
      <c r="AF62" s="426"/>
      <c r="AG62" s="426"/>
      <c r="AH62" s="426"/>
      <c r="AI62" s="426"/>
      <c r="AJ62" s="18"/>
      <c r="AK62" s="18"/>
      <c r="AL62" s="18"/>
      <c r="AM62" s="18"/>
      <c r="AN62" s="18"/>
      <c r="AO62" s="18"/>
      <c r="AP62" s="18"/>
      <c r="AS62" s="426"/>
      <c r="AT62" s="426"/>
      <c r="AU62" s="400" t="s">
        <v>1850</v>
      </c>
      <c r="AV62" s="389"/>
      <c r="AW62" s="389"/>
      <c r="AX62" s="389"/>
      <c r="AY62" s="389"/>
      <c r="AZ62" s="390"/>
      <c r="BA62" s="426"/>
      <c r="BB62" s="426"/>
      <c r="BC62" s="2"/>
      <c r="BE62" s="18"/>
      <c r="BF62" s="18"/>
      <c r="BG62" s="18"/>
      <c r="BH62" s="18"/>
      <c r="BI62" s="18"/>
      <c r="BJ62" s="18"/>
      <c r="BK62" s="295"/>
      <c r="BL62" s="295"/>
      <c r="BM62" s="426" t="str">
        <f>IF(AB10="","リーグ1.2位",VLOOKUP(2,$B$10:$S$25,5,FALSE))</f>
        <v>池端</v>
      </c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 t="str">
        <f>IF(AB10="","",VLOOKUP(2,$B$10:$S$25,14,FALSE))</f>
        <v>土肥</v>
      </c>
      <c r="BZ62" s="426" t="str">
        <f aca="true" t="shared" si="1" ref="BZ62:CH65">IF(AJ10="","リーグ1.2位",VLOOKUP(2,$B$10:$S$25,5,FALSE))</f>
        <v>池端</v>
      </c>
      <c r="CA62" s="426" t="str">
        <f t="shared" si="1"/>
        <v>リーグ1.2位</v>
      </c>
      <c r="CB62" s="426" t="str">
        <f t="shared" si="1"/>
        <v>リーグ1.2位</v>
      </c>
      <c r="CC62" s="426" t="str">
        <f t="shared" si="1"/>
        <v>池端</v>
      </c>
      <c r="CD62" s="426" t="str">
        <f t="shared" si="1"/>
        <v>池端</v>
      </c>
      <c r="CE62" s="426" t="str">
        <f t="shared" si="1"/>
        <v>リーグ1.2位</v>
      </c>
      <c r="CF62" s="426" t="str">
        <f t="shared" si="1"/>
        <v>リーグ1.2位</v>
      </c>
      <c r="CG62" s="426" t="str">
        <f t="shared" si="1"/>
        <v>リーグ1.2位</v>
      </c>
      <c r="CH62" s="426" t="str">
        <f t="shared" si="1"/>
        <v>池端</v>
      </c>
    </row>
    <row r="63" spans="15:86" ht="7.5" customHeight="1"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17"/>
      <c r="AK63" s="17"/>
      <c r="AL63" s="11"/>
      <c r="AM63" s="40"/>
      <c r="AN63" s="17"/>
      <c r="AO63" s="17"/>
      <c r="AP63" s="18"/>
      <c r="AU63" s="400"/>
      <c r="AV63" s="389"/>
      <c r="AW63" s="389"/>
      <c r="AX63" s="389"/>
      <c r="AY63" s="389"/>
      <c r="AZ63" s="390"/>
      <c r="BE63" s="17"/>
      <c r="BF63" s="17"/>
      <c r="BG63" s="17"/>
      <c r="BH63" s="17"/>
      <c r="BI63" s="11"/>
      <c r="BJ63" s="11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 t="str">
        <f>IF(AI11="","リーグ1.2位",VLOOKUP(2,$B$10:$S$25,5,FALSE))</f>
        <v>リーグ1.2位</v>
      </c>
      <c r="BZ63" s="426" t="str">
        <f t="shared" si="1"/>
        <v>リーグ1.2位</v>
      </c>
      <c r="CA63" s="426" t="str">
        <f t="shared" si="1"/>
        <v>リーグ1.2位</v>
      </c>
      <c r="CB63" s="426" t="str">
        <f t="shared" si="1"/>
        <v>リーグ1.2位</v>
      </c>
      <c r="CC63" s="426" t="str">
        <f t="shared" si="1"/>
        <v>リーグ1.2位</v>
      </c>
      <c r="CD63" s="426" t="str">
        <f t="shared" si="1"/>
        <v>リーグ1.2位</v>
      </c>
      <c r="CE63" s="426" t="str">
        <f t="shared" si="1"/>
        <v>リーグ1.2位</v>
      </c>
      <c r="CF63" s="426" t="str">
        <f t="shared" si="1"/>
        <v>リーグ1.2位</v>
      </c>
      <c r="CG63" s="426" t="str">
        <f t="shared" si="1"/>
        <v>リーグ1.2位</v>
      </c>
      <c r="CH63" s="426" t="str">
        <f t="shared" si="1"/>
        <v>リーグ1.2位</v>
      </c>
    </row>
    <row r="64" spans="15:86" ht="7.5" customHeight="1"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18"/>
      <c r="AK64" s="18"/>
      <c r="AL64" s="424" t="s">
        <v>1735</v>
      </c>
      <c r="AM64" s="424"/>
      <c r="AN64" s="424"/>
      <c r="AO64" s="425"/>
      <c r="AP64" s="30"/>
      <c r="AU64" s="414"/>
      <c r="AZ64" s="9"/>
      <c r="BD64" s="24"/>
      <c r="BE64" s="18"/>
      <c r="BF64" s="18"/>
      <c r="BG64" s="18"/>
      <c r="BH64" s="18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 t="str">
        <f>IF(AI12="","リーグ1.2位",VLOOKUP(2,$B$10:$S$25,5,FALSE))</f>
        <v>リーグ1.2位</v>
      </c>
      <c r="BZ64" s="426" t="str">
        <f t="shared" si="1"/>
        <v>リーグ1.2位</v>
      </c>
      <c r="CA64" s="426" t="str">
        <f t="shared" si="1"/>
        <v>リーグ1.2位</v>
      </c>
      <c r="CB64" s="426" t="str">
        <f t="shared" si="1"/>
        <v>リーグ1.2位</v>
      </c>
      <c r="CC64" s="426" t="str">
        <f t="shared" si="1"/>
        <v>リーグ1.2位</v>
      </c>
      <c r="CD64" s="426" t="str">
        <f t="shared" si="1"/>
        <v>リーグ1.2位</v>
      </c>
      <c r="CE64" s="426" t="str">
        <f t="shared" si="1"/>
        <v>リーグ1.2位</v>
      </c>
      <c r="CF64" s="426" t="str">
        <f t="shared" si="1"/>
        <v>リーグ1.2位</v>
      </c>
      <c r="CG64" s="426" t="str">
        <f t="shared" si="1"/>
        <v>リーグ1.2位</v>
      </c>
      <c r="CH64" s="426" t="str">
        <f t="shared" si="1"/>
        <v>リーグ1.2位</v>
      </c>
    </row>
    <row r="65" spans="15:86" ht="7.5" customHeight="1" thickBot="1"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18"/>
      <c r="AK65" s="18"/>
      <c r="AL65" s="426"/>
      <c r="AM65" s="426"/>
      <c r="AN65" s="426"/>
      <c r="AO65" s="427"/>
      <c r="AP65" s="72"/>
      <c r="AQ65" s="8"/>
      <c r="AR65" s="8"/>
      <c r="AS65" s="8"/>
      <c r="AT65" s="8"/>
      <c r="AU65" s="414"/>
      <c r="AV65" s="2"/>
      <c r="AW65" s="2"/>
      <c r="AX65" s="2"/>
      <c r="AY65" s="2"/>
      <c r="AZ65" s="9"/>
      <c r="BA65" s="8"/>
      <c r="BB65" s="8"/>
      <c r="BC65" s="8"/>
      <c r="BD65" s="43"/>
      <c r="BE65" s="594" t="s">
        <v>1737</v>
      </c>
      <c r="BF65" s="590"/>
      <c r="BG65" s="590"/>
      <c r="BH65" s="18"/>
      <c r="BI65" s="18"/>
      <c r="BJ65" s="18"/>
      <c r="BK65" s="295"/>
      <c r="BL65" s="295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 t="str">
        <f>IF(AI13="","リーグ1.2位",VLOOKUP(2,$B$10:$S$25,5,FALSE))</f>
        <v>リーグ1.2位</v>
      </c>
      <c r="BZ65" s="426" t="str">
        <f t="shared" si="1"/>
        <v>池端</v>
      </c>
      <c r="CA65" s="426" t="str">
        <f t="shared" si="1"/>
        <v>リーグ1.2位</v>
      </c>
      <c r="CB65" s="426" t="str">
        <f t="shared" si="1"/>
        <v>リーグ1.2位</v>
      </c>
      <c r="CC65" s="426" t="str">
        <f t="shared" si="1"/>
        <v>リーグ1.2位</v>
      </c>
      <c r="CD65" s="426" t="str">
        <f t="shared" si="1"/>
        <v>リーグ1.2位</v>
      </c>
      <c r="CE65" s="426" t="str">
        <f t="shared" si="1"/>
        <v>リーグ1.2位</v>
      </c>
      <c r="CF65" s="426" t="str">
        <f t="shared" si="1"/>
        <v>リーグ1.2位</v>
      </c>
      <c r="CG65" s="426" t="str">
        <f t="shared" si="1"/>
        <v>リーグ1.2位</v>
      </c>
      <c r="CH65" s="426" t="str">
        <f t="shared" si="1"/>
        <v>池端</v>
      </c>
    </row>
    <row r="66" spans="15:86" ht="7.5" customHeight="1">
      <c r="O66" s="383" t="str">
        <f>IF($AB$34="","リーグ2・1位",VLOOKUP(1,$B$34:$S$49,5,FALSE))</f>
        <v>金武</v>
      </c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 t="str">
        <f>IF($AB$34="","",VLOOKUP(1,$B$34:$S$49,14,FALSE))</f>
        <v>内田</v>
      </c>
      <c r="AA66" s="383"/>
      <c r="AB66" s="383"/>
      <c r="AC66" s="383"/>
      <c r="AD66" s="383"/>
      <c r="AE66" s="383"/>
      <c r="AF66" s="383"/>
      <c r="AG66" s="383"/>
      <c r="AH66" s="383"/>
      <c r="AI66" s="383"/>
      <c r="AL66" s="426"/>
      <c r="AM66" s="426"/>
      <c r="AN66" s="426"/>
      <c r="AO66" s="426"/>
      <c r="AP66" s="409"/>
      <c r="AQ66" s="389" t="s">
        <v>1842</v>
      </c>
      <c r="AR66" s="426"/>
      <c r="AS66" s="426"/>
      <c r="AT66" s="426"/>
      <c r="AU66" s="426"/>
      <c r="AV66" s="2"/>
      <c r="AW66" s="2"/>
      <c r="AX66" s="2"/>
      <c r="AY66" s="2"/>
      <c r="AZ66" s="18"/>
      <c r="BA66" s="389" t="s">
        <v>1845</v>
      </c>
      <c r="BB66" s="426"/>
      <c r="BC66" s="426"/>
      <c r="BD66" s="427"/>
      <c r="BE66" s="595"/>
      <c r="BF66" s="590"/>
      <c r="BG66" s="590"/>
      <c r="BH66" s="18"/>
      <c r="BI66" s="18"/>
      <c r="BJ66" s="18"/>
      <c r="BK66" s="295"/>
      <c r="BL66" s="295"/>
      <c r="BM66" s="361" t="str">
        <f>IF($CI$34="","リーグ4・1位",VLOOKUP(1,$BI$34:$BZ$47,5,FALSE))</f>
        <v>吉野</v>
      </c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 t="str">
        <f>IF($CI$34="","",VLOOKUP(1,$BI$34:$BZ$47,14,FALSE))</f>
        <v>津田</v>
      </c>
      <c r="BZ66" s="361" t="str">
        <f aca="true" t="shared" si="2" ref="BZ66:CH66">IF($CI$34="","リーグ4・1位",VLOOKUP(1,$BI$34:$BZ$47,5,FALSE))</f>
        <v>吉野</v>
      </c>
      <c r="CA66" s="361" t="str">
        <f t="shared" si="2"/>
        <v>吉野</v>
      </c>
      <c r="CB66" s="361" t="str">
        <f t="shared" si="2"/>
        <v>吉野</v>
      </c>
      <c r="CC66" s="361" t="str">
        <f t="shared" si="2"/>
        <v>吉野</v>
      </c>
      <c r="CD66" s="361" t="str">
        <f t="shared" si="2"/>
        <v>吉野</v>
      </c>
      <c r="CE66" s="361" t="str">
        <f t="shared" si="2"/>
        <v>吉野</v>
      </c>
      <c r="CF66" s="361" t="str">
        <f t="shared" si="2"/>
        <v>吉野</v>
      </c>
      <c r="CG66" s="361" t="str">
        <f t="shared" si="2"/>
        <v>吉野</v>
      </c>
      <c r="CH66" s="361" t="str">
        <f t="shared" si="2"/>
        <v>吉野</v>
      </c>
    </row>
    <row r="67" spans="15:86" ht="7.5" customHeight="1" thickBot="1"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21"/>
      <c r="AK67" s="21"/>
      <c r="AL67" s="621"/>
      <c r="AM67" s="621"/>
      <c r="AN67" s="621"/>
      <c r="AO67" s="621"/>
      <c r="AP67" s="407"/>
      <c r="AQ67" s="426"/>
      <c r="AR67" s="426"/>
      <c r="AS67" s="426"/>
      <c r="AT67" s="426"/>
      <c r="AU67" s="426"/>
      <c r="AV67" s="18"/>
      <c r="AW67" s="18"/>
      <c r="AX67" s="18"/>
      <c r="AY67" s="18"/>
      <c r="AZ67" s="18"/>
      <c r="BA67" s="426"/>
      <c r="BB67" s="426"/>
      <c r="BC67" s="426"/>
      <c r="BD67" s="426"/>
      <c r="BE67" s="408"/>
      <c r="BF67" s="21"/>
      <c r="BG67" s="21"/>
      <c r="BH67" s="21"/>
      <c r="BI67" s="17"/>
      <c r="BJ67" s="17"/>
      <c r="BK67" s="295"/>
      <c r="BL67" s="295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 t="str">
        <f aca="true" t="shared" si="3" ref="BY67:CH67">IF($CI$34="","リーグ4・1位",VLOOKUP(1,$BI$34:$BZ$47,5,FALSE))</f>
        <v>吉野</v>
      </c>
      <c r="BZ67" s="361" t="str">
        <f t="shared" si="3"/>
        <v>吉野</v>
      </c>
      <c r="CA67" s="361" t="str">
        <f t="shared" si="3"/>
        <v>吉野</v>
      </c>
      <c r="CB67" s="361" t="str">
        <f t="shared" si="3"/>
        <v>吉野</v>
      </c>
      <c r="CC67" s="361" t="str">
        <f t="shared" si="3"/>
        <v>吉野</v>
      </c>
      <c r="CD67" s="361" t="str">
        <f t="shared" si="3"/>
        <v>吉野</v>
      </c>
      <c r="CE67" s="361" t="str">
        <f t="shared" si="3"/>
        <v>吉野</v>
      </c>
      <c r="CF67" s="361" t="str">
        <f t="shared" si="3"/>
        <v>吉野</v>
      </c>
      <c r="CG67" s="361" t="str">
        <f t="shared" si="3"/>
        <v>吉野</v>
      </c>
      <c r="CH67" s="361" t="str">
        <f t="shared" si="3"/>
        <v>吉野</v>
      </c>
    </row>
    <row r="68" spans="5:86" ht="7.5" customHeight="1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18"/>
      <c r="AK68" s="18"/>
      <c r="AL68" s="18"/>
      <c r="AM68" s="18"/>
      <c r="AN68" s="18"/>
      <c r="AO68" s="18"/>
      <c r="AP68" s="18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 t="str">
        <f aca="true" t="shared" si="4" ref="BY68:CH68">IF($CI$34="","リーグ4・1位",VLOOKUP(1,$BI$34:$BZ$47,5,FALSE))</f>
        <v>吉野</v>
      </c>
      <c r="BZ68" s="361" t="str">
        <f t="shared" si="4"/>
        <v>吉野</v>
      </c>
      <c r="CA68" s="361" t="str">
        <f t="shared" si="4"/>
        <v>吉野</v>
      </c>
      <c r="CB68" s="361" t="str">
        <f t="shared" si="4"/>
        <v>吉野</v>
      </c>
      <c r="CC68" s="361" t="str">
        <f t="shared" si="4"/>
        <v>吉野</v>
      </c>
      <c r="CD68" s="361" t="str">
        <f t="shared" si="4"/>
        <v>吉野</v>
      </c>
      <c r="CE68" s="361" t="str">
        <f t="shared" si="4"/>
        <v>吉野</v>
      </c>
      <c r="CF68" s="361" t="str">
        <f t="shared" si="4"/>
        <v>吉野</v>
      </c>
      <c r="CG68" s="361" t="str">
        <f t="shared" si="4"/>
        <v>吉野</v>
      </c>
      <c r="CH68" s="361" t="str">
        <f t="shared" si="4"/>
        <v>吉野</v>
      </c>
    </row>
    <row r="69" spans="15:86" ht="7.5" customHeight="1"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 t="str">
        <f aca="true" t="shared" si="5" ref="BY69:CH69">IF($CI$34="","リーグ4・1位",VLOOKUP(1,$BI$34:$BZ$47,5,FALSE))</f>
        <v>吉野</v>
      </c>
      <c r="BZ69" s="361" t="str">
        <f t="shared" si="5"/>
        <v>吉野</v>
      </c>
      <c r="CA69" s="361" t="str">
        <f t="shared" si="5"/>
        <v>吉野</v>
      </c>
      <c r="CB69" s="361" t="str">
        <f t="shared" si="5"/>
        <v>吉野</v>
      </c>
      <c r="CC69" s="361" t="str">
        <f t="shared" si="5"/>
        <v>吉野</v>
      </c>
      <c r="CD69" s="361" t="str">
        <f t="shared" si="5"/>
        <v>吉野</v>
      </c>
      <c r="CE69" s="361" t="str">
        <f t="shared" si="5"/>
        <v>吉野</v>
      </c>
      <c r="CF69" s="361" t="str">
        <f t="shared" si="5"/>
        <v>吉野</v>
      </c>
      <c r="CG69" s="361" t="str">
        <f t="shared" si="5"/>
        <v>吉野</v>
      </c>
      <c r="CH69" s="361" t="str">
        <f t="shared" si="5"/>
        <v>吉野</v>
      </c>
    </row>
    <row r="70" spans="63:97" ht="7.5" customHeight="1">
      <c r="BK70" s="592" t="s">
        <v>848</v>
      </c>
      <c r="BL70" s="592"/>
      <c r="BM70" s="592"/>
      <c r="BN70" s="592"/>
      <c r="BO70" s="592"/>
      <c r="BP70" s="592"/>
      <c r="BQ70" s="592"/>
      <c r="BR70" s="592"/>
      <c r="BS70" s="592"/>
      <c r="BT70" s="592"/>
      <c r="BU70" s="592"/>
      <c r="BV70" s="592"/>
      <c r="BW70" s="592"/>
      <c r="BX70" s="592"/>
      <c r="BY70" s="592"/>
      <c r="BZ70" s="592"/>
      <c r="CA70" s="59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</row>
    <row r="71" spans="63:97" ht="7.5" customHeight="1">
      <c r="BK71" s="592"/>
      <c r="BL71" s="592"/>
      <c r="BM71" s="592"/>
      <c r="BN71" s="592"/>
      <c r="BO71" s="592"/>
      <c r="BP71" s="592"/>
      <c r="BQ71" s="592"/>
      <c r="BR71" s="592"/>
      <c r="BS71" s="592"/>
      <c r="BT71" s="592"/>
      <c r="BU71" s="592"/>
      <c r="BV71" s="592"/>
      <c r="BW71" s="592"/>
      <c r="BX71" s="592"/>
      <c r="BY71" s="592"/>
      <c r="BZ71" s="592"/>
      <c r="CA71" s="59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</row>
    <row r="72" spans="63:97" ht="7.5" customHeight="1">
      <c r="BK72" s="592"/>
      <c r="BL72" s="592"/>
      <c r="BM72" s="592"/>
      <c r="BN72" s="592"/>
      <c r="BO72" s="592"/>
      <c r="BP72" s="592"/>
      <c r="BQ72" s="592"/>
      <c r="BR72" s="592"/>
      <c r="BS72" s="592"/>
      <c r="BT72" s="592"/>
      <c r="BU72" s="592"/>
      <c r="BV72" s="592"/>
      <c r="BW72" s="592"/>
      <c r="BX72" s="592"/>
      <c r="BY72" s="592"/>
      <c r="BZ72" s="592"/>
      <c r="CA72" s="59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</row>
    <row r="73" spans="29:97" ht="7.5" customHeight="1"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BK73" s="592"/>
      <c r="BL73" s="592"/>
      <c r="BM73" s="592"/>
      <c r="BN73" s="592"/>
      <c r="BO73" s="592"/>
      <c r="BP73" s="592"/>
      <c r="BQ73" s="592"/>
      <c r="BR73" s="592"/>
      <c r="BS73" s="592"/>
      <c r="BT73" s="592"/>
      <c r="BU73" s="592"/>
      <c r="BV73" s="592"/>
      <c r="BW73" s="592"/>
      <c r="BX73" s="592"/>
      <c r="BY73" s="592"/>
      <c r="BZ73" s="592"/>
      <c r="CA73" s="59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</row>
    <row r="74" spans="30:79" ht="7.5" customHeight="1">
      <c r="AD74" s="12"/>
      <c r="BK74" s="592"/>
      <c r="BL74" s="592"/>
      <c r="BM74" s="592"/>
      <c r="BN74" s="592"/>
      <c r="BO74" s="592"/>
      <c r="BP74" s="592"/>
      <c r="BQ74" s="592"/>
      <c r="BR74" s="592"/>
      <c r="BS74" s="592"/>
      <c r="BT74" s="592"/>
      <c r="BU74" s="592"/>
      <c r="BV74" s="592"/>
      <c r="BW74" s="592"/>
      <c r="BX74" s="592"/>
      <c r="BY74" s="592"/>
      <c r="BZ74" s="592"/>
      <c r="CA74" s="592"/>
    </row>
    <row r="75" ht="7.5" customHeight="1">
      <c r="AD75" s="12"/>
    </row>
    <row r="76" spans="30:80" ht="7.5" customHeight="1">
      <c r="AD76" s="12"/>
      <c r="BG76" s="426" t="s">
        <v>1846</v>
      </c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2"/>
      <c r="BW76" s="2"/>
      <c r="BX76" s="2"/>
      <c r="BY76" s="2"/>
      <c r="BZ76" s="2"/>
      <c r="CA76" s="2"/>
      <c r="CB76" s="2"/>
    </row>
    <row r="77" spans="30:84" ht="7.5" customHeight="1">
      <c r="AD77" s="2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295"/>
      <c r="BW77" s="295"/>
      <c r="BX77" s="295"/>
      <c r="BY77" s="295"/>
      <c r="BZ77" s="295"/>
      <c r="CA77" s="18"/>
      <c r="CB77" s="18"/>
      <c r="CC77" s="18"/>
      <c r="CD77" s="18"/>
      <c r="CE77" s="18"/>
      <c r="CF77" s="18"/>
    </row>
    <row r="78" spans="30:84" ht="7.5" customHeight="1">
      <c r="AD78" s="2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297"/>
      <c r="BW78" s="297"/>
      <c r="BX78" s="298"/>
      <c r="BY78" s="295"/>
      <c r="BZ78" s="295"/>
      <c r="CA78" s="18"/>
      <c r="CB78" s="18"/>
      <c r="CC78" s="18"/>
      <c r="CD78" s="18"/>
      <c r="CE78" s="18"/>
      <c r="CF78" s="18"/>
    </row>
    <row r="79" spans="30:85" ht="7.5" customHeight="1" thickBot="1">
      <c r="AD79" s="2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X79" s="421"/>
      <c r="BY79" s="8"/>
      <c r="BZ79" s="8"/>
      <c r="CA79" s="8"/>
      <c r="CB79" s="8"/>
      <c r="CC79" s="426" t="s">
        <v>849</v>
      </c>
      <c r="CD79" s="426"/>
      <c r="CE79" s="426"/>
      <c r="CF79" s="426"/>
      <c r="CG79" s="426"/>
    </row>
    <row r="80" spans="30:85" ht="7.5" customHeight="1">
      <c r="AD80" s="2"/>
      <c r="BG80" s="383" t="s">
        <v>1851</v>
      </c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X80" s="9"/>
      <c r="BY80" s="591" t="s">
        <v>1852</v>
      </c>
      <c r="BZ80" s="591"/>
      <c r="CA80" s="591"/>
      <c r="CB80" s="591"/>
      <c r="CC80" s="426"/>
      <c r="CD80" s="426"/>
      <c r="CE80" s="426"/>
      <c r="CF80" s="426"/>
      <c r="CG80" s="426"/>
    </row>
    <row r="81" spans="30:85" ht="7.5" customHeight="1" thickBot="1">
      <c r="AD81" s="2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8"/>
      <c r="BW81" s="8"/>
      <c r="BX81" s="416"/>
      <c r="BY81" s="426"/>
      <c r="BZ81" s="426"/>
      <c r="CA81" s="426"/>
      <c r="CB81" s="426"/>
      <c r="CC81" s="426"/>
      <c r="CD81" s="426"/>
      <c r="CE81" s="426"/>
      <c r="CF81" s="426"/>
      <c r="CG81" s="426"/>
    </row>
    <row r="82" spans="30:83" ht="7.5" customHeight="1">
      <c r="AD82" s="2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W82" s="2"/>
      <c r="BX82" s="2"/>
      <c r="BY82" s="426"/>
      <c r="BZ82" s="426"/>
      <c r="CA82" s="426"/>
      <c r="CB82" s="426"/>
      <c r="CC82" s="2"/>
      <c r="CD82" s="2"/>
      <c r="CE82" s="2"/>
    </row>
    <row r="83" spans="2:105" s="61" customFormat="1" ht="13.5">
      <c r="B83" s="423" t="s">
        <v>1854</v>
      </c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3"/>
      <c r="AK83" s="423"/>
      <c r="AL83" s="423"/>
      <c r="AM83" s="423"/>
      <c r="AN83" s="423"/>
      <c r="AO83" s="423"/>
      <c r="AP83" s="423"/>
      <c r="AQ83" s="423"/>
      <c r="AR83" s="423"/>
      <c r="AS83" s="423"/>
      <c r="AT83" s="423"/>
      <c r="AU83" s="423"/>
      <c r="AV83" s="423"/>
      <c r="AW83" s="423"/>
      <c r="AX83" s="423"/>
      <c r="AY83" s="423"/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3"/>
      <c r="BM83" s="423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3"/>
      <c r="CB83" s="423"/>
      <c r="CC83" s="423"/>
      <c r="CD83" s="423"/>
      <c r="CE83" s="423"/>
      <c r="CF83" s="423"/>
      <c r="CG83" s="423"/>
      <c r="CH83" s="423"/>
      <c r="CI83" s="423"/>
      <c r="CJ83" s="423"/>
      <c r="CK83" s="423"/>
      <c r="CL83" s="423"/>
      <c r="CM83" s="423"/>
      <c r="CN83" s="423"/>
      <c r="CO83" s="423"/>
      <c r="CP83" s="423"/>
      <c r="CQ83" s="423"/>
      <c r="CR83" s="423"/>
      <c r="CS83" s="423"/>
      <c r="CT83" s="423"/>
      <c r="CU83" s="423"/>
      <c r="CV83" s="423"/>
      <c r="CW83" s="423"/>
      <c r="CX83" s="423"/>
      <c r="CY83" s="423"/>
      <c r="CZ83" s="423"/>
      <c r="DA83" s="423"/>
    </row>
    <row r="84" spans="2:105" s="61" customFormat="1" ht="13.5"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  <c r="CT84" s="423"/>
      <c r="CU84" s="423"/>
      <c r="CV84" s="423"/>
      <c r="CW84" s="423"/>
      <c r="CX84" s="423"/>
      <c r="CY84" s="423"/>
      <c r="CZ84" s="423"/>
      <c r="DA84" s="423"/>
    </row>
    <row r="85" spans="3:122" ht="7.5" customHeight="1">
      <c r="C85" s="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Z85" s="7"/>
      <c r="DA85" s="7"/>
      <c r="DB85" s="7"/>
      <c r="DC85" s="7"/>
      <c r="DD85" s="7"/>
      <c r="DE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</row>
    <row r="86" spans="61:124" ht="7.5" customHeight="1">
      <c r="BI86" s="2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24:125" ht="7.5" customHeight="1">
      <c r="X87" s="2"/>
      <c r="Y87" s="12"/>
      <c r="Z87" s="12"/>
      <c r="AA87" s="12"/>
      <c r="AB87" s="12"/>
      <c r="AU87" s="598" t="s">
        <v>1691</v>
      </c>
      <c r="AV87" s="598"/>
      <c r="AW87" s="598"/>
      <c r="AX87" s="598"/>
      <c r="AY87" s="598"/>
      <c r="AZ87" s="598"/>
      <c r="BA87" s="598"/>
      <c r="BB87" s="598"/>
      <c r="BC87" s="598"/>
      <c r="BD87" s="598"/>
      <c r="BE87" s="598"/>
      <c r="BF87" s="598"/>
      <c r="BH87" s="2"/>
      <c r="BW87" s="2"/>
      <c r="BX87" s="2"/>
      <c r="BY87" s="2"/>
      <c r="BZ87" s="2"/>
      <c r="CA87" s="2"/>
      <c r="CB87" s="6"/>
      <c r="CC87" s="6"/>
      <c r="CD87" s="6"/>
      <c r="CE87" s="6"/>
      <c r="CF87" s="6"/>
      <c r="CG87" s="6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</row>
    <row r="88" spans="24:124" ht="7.5" customHeight="1">
      <c r="X88" s="2"/>
      <c r="Y88" s="12"/>
      <c r="Z88" s="12"/>
      <c r="AA88" s="12"/>
      <c r="AB88" s="12"/>
      <c r="AU88" s="598"/>
      <c r="AV88" s="598"/>
      <c r="AW88" s="598"/>
      <c r="AX88" s="598"/>
      <c r="AY88" s="598"/>
      <c r="AZ88" s="598"/>
      <c r="BA88" s="598"/>
      <c r="BB88" s="598"/>
      <c r="BC88" s="598"/>
      <c r="BD88" s="598"/>
      <c r="BE88" s="598"/>
      <c r="BF88" s="598"/>
      <c r="BU88" s="2"/>
      <c r="BV88" s="2"/>
      <c r="BW88" s="2"/>
      <c r="BX88" s="2"/>
      <c r="BY88" s="2"/>
      <c r="BZ88" s="6"/>
      <c r="CA88" s="6"/>
      <c r="CB88" s="6"/>
      <c r="CC88" s="6"/>
      <c r="CD88" s="6"/>
      <c r="CE88" s="6"/>
      <c r="CF88" s="6"/>
      <c r="CG88" s="6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6:124" ht="7.5" customHeight="1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B89" s="2"/>
      <c r="AR89" s="2"/>
      <c r="AS89" s="2"/>
      <c r="AT89" s="2"/>
      <c r="AU89" s="598"/>
      <c r="AV89" s="598"/>
      <c r="AW89" s="598"/>
      <c r="AX89" s="598"/>
      <c r="AY89" s="598"/>
      <c r="AZ89" s="598"/>
      <c r="BA89" s="598"/>
      <c r="BB89" s="598"/>
      <c r="BC89" s="598"/>
      <c r="BD89" s="598"/>
      <c r="BE89" s="598"/>
      <c r="BF89" s="598"/>
      <c r="BU89" s="2"/>
      <c r="BV89" s="2"/>
      <c r="BW89" s="2"/>
      <c r="BX89" s="2"/>
      <c r="BY89" s="2"/>
      <c r="BZ89" s="6"/>
      <c r="CA89" s="6"/>
      <c r="CB89" s="6"/>
      <c r="CC89" s="6"/>
      <c r="CD89" s="6"/>
      <c r="CE89" s="6"/>
      <c r="CF89" s="6"/>
      <c r="CG89" s="6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6:125" ht="7.5" customHeight="1">
      <c r="F90" s="12"/>
      <c r="G90" s="12"/>
      <c r="H90" s="12"/>
      <c r="I90" s="12"/>
      <c r="J90" s="12"/>
      <c r="K90" s="12"/>
      <c r="L90" s="12"/>
      <c r="M90" s="12"/>
      <c r="N90" s="12"/>
      <c r="O90" s="426" t="str">
        <f>IF($AB$10="","リーグ1・３位",VLOOKUP(3,$B$10:$S$24,5,FALSE))</f>
        <v>四元</v>
      </c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 t="str">
        <f>IF($AB$10="","",VLOOKUP(3,$B$10:$S$24,14,FALSE))</f>
        <v>佐竹</v>
      </c>
      <c r="AA90" s="426"/>
      <c r="AB90" s="426"/>
      <c r="AC90" s="426"/>
      <c r="AD90" s="426"/>
      <c r="AE90" s="426"/>
      <c r="AF90" s="426"/>
      <c r="AG90" s="426"/>
      <c r="AH90" s="426"/>
      <c r="AI90" s="426"/>
      <c r="AV90" s="383" t="s">
        <v>847</v>
      </c>
      <c r="AW90" s="383"/>
      <c r="AX90" s="383"/>
      <c r="AY90" s="383"/>
      <c r="AZ90" s="383"/>
      <c r="BA90" s="67"/>
      <c r="BB90" s="67"/>
      <c r="BC90" s="67"/>
      <c r="BD90" s="67"/>
      <c r="BE90" s="67"/>
      <c r="BF90" s="67"/>
      <c r="BG90" s="67"/>
      <c r="BM90" s="383" t="str">
        <f>IF($CI$10="","リーグ3・3位",VLOOKUP(3,$BI$10:$BZ$25,5,FALSE))</f>
        <v>柴田</v>
      </c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 t="str">
        <f>IF($CI$10="","",VLOOKUP(3,$BI$10:$BZ$25,14,FALSE))</f>
        <v>浅田</v>
      </c>
      <c r="BZ90" s="383"/>
      <c r="CA90" s="383"/>
      <c r="CB90" s="383"/>
      <c r="CC90" s="383"/>
      <c r="CD90" s="383"/>
      <c r="CE90" s="383"/>
      <c r="CF90" s="383"/>
      <c r="CG90" s="383"/>
      <c r="CH90" s="383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</row>
    <row r="91" spans="6:125" ht="7.5" customHeight="1" thickBot="1">
      <c r="F91" s="18"/>
      <c r="G91" s="18"/>
      <c r="H91" s="18"/>
      <c r="I91" s="18"/>
      <c r="J91" s="18"/>
      <c r="K91" s="18"/>
      <c r="L91" s="18"/>
      <c r="M91" s="18"/>
      <c r="N91" s="18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5"/>
      <c r="AK91" s="17"/>
      <c r="AL91" s="17"/>
      <c r="AM91" s="17"/>
      <c r="AN91" s="17"/>
      <c r="AO91" s="17"/>
      <c r="AP91" s="18"/>
      <c r="AV91" s="383"/>
      <c r="AW91" s="383"/>
      <c r="AX91" s="383"/>
      <c r="AY91" s="383"/>
      <c r="AZ91" s="383"/>
      <c r="BA91" s="67"/>
      <c r="BB91" s="67"/>
      <c r="BC91" s="67"/>
      <c r="BD91" s="67"/>
      <c r="BE91" s="410"/>
      <c r="BF91" s="410"/>
      <c r="BG91" s="410"/>
      <c r="BH91" s="21"/>
      <c r="BI91" s="17"/>
      <c r="BJ91" s="17"/>
      <c r="BK91" s="295"/>
      <c r="BL91" s="295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  <c r="CE91" s="383"/>
      <c r="CF91" s="383"/>
      <c r="CG91" s="383"/>
      <c r="CH91" s="383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</row>
    <row r="92" spans="6:125" ht="7.5" customHeight="1">
      <c r="F92" s="18"/>
      <c r="G92" s="18"/>
      <c r="H92" s="18"/>
      <c r="I92" s="18"/>
      <c r="J92" s="18"/>
      <c r="K92" s="18"/>
      <c r="L92" s="18"/>
      <c r="M92" s="18"/>
      <c r="N92" s="18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18"/>
      <c r="AK92" s="18"/>
      <c r="AL92" s="589" t="s">
        <v>1734</v>
      </c>
      <c r="AM92" s="590"/>
      <c r="AN92" s="590"/>
      <c r="AO92" s="590"/>
      <c r="AP92" s="590"/>
      <c r="AQ92" s="418"/>
      <c r="AR92" s="18"/>
      <c r="AS92" s="18"/>
      <c r="AT92" s="18"/>
      <c r="AU92" s="18"/>
      <c r="AV92" s="383"/>
      <c r="AW92" s="383"/>
      <c r="AX92" s="383"/>
      <c r="AY92" s="383"/>
      <c r="AZ92" s="383"/>
      <c r="BA92" s="18"/>
      <c r="BB92" s="18"/>
      <c r="BC92" s="18"/>
      <c r="BD92" s="412"/>
      <c r="BE92" s="18"/>
      <c r="BF92" s="18"/>
      <c r="BG92" s="18"/>
      <c r="BH92" s="18"/>
      <c r="BI92" s="18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  <c r="CE92" s="383"/>
      <c r="CF92" s="383"/>
      <c r="CG92" s="383"/>
      <c r="CH92" s="383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</row>
    <row r="93" spans="6:125" ht="7.5" customHeight="1" thickBot="1">
      <c r="F93" s="18"/>
      <c r="G93" s="18"/>
      <c r="H93" s="18"/>
      <c r="I93" s="18"/>
      <c r="J93" s="18"/>
      <c r="K93" s="18"/>
      <c r="L93" s="18"/>
      <c r="M93" s="18"/>
      <c r="N93" s="18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2"/>
      <c r="AK93" s="2"/>
      <c r="AL93" s="590"/>
      <c r="AM93" s="590"/>
      <c r="AN93" s="590"/>
      <c r="AO93" s="590"/>
      <c r="AP93" s="590"/>
      <c r="AQ93" s="419"/>
      <c r="AR93" s="21"/>
      <c r="AS93" s="21"/>
      <c r="AT93" s="21"/>
      <c r="AU93" s="18"/>
      <c r="AZ93" s="414"/>
      <c r="BA93" s="21"/>
      <c r="BB93" s="21"/>
      <c r="BC93" s="21"/>
      <c r="BD93" s="413"/>
      <c r="BE93" s="589" t="s">
        <v>1736</v>
      </c>
      <c r="BF93" s="590"/>
      <c r="BG93" s="590"/>
      <c r="BH93" s="590"/>
      <c r="BI93" s="590"/>
      <c r="BJ93" s="590"/>
      <c r="BK93" s="296"/>
      <c r="BL93" s="296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  <c r="CG93" s="383"/>
      <c r="CH93" s="383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</row>
    <row r="94" spans="6:125" ht="7.5" customHeight="1">
      <c r="F94" s="18"/>
      <c r="G94" s="18"/>
      <c r="H94" s="18"/>
      <c r="I94" s="18"/>
      <c r="J94" s="18"/>
      <c r="K94" s="18"/>
      <c r="L94" s="18"/>
      <c r="M94" s="18"/>
      <c r="N94" s="18"/>
      <c r="O94" s="426" t="str">
        <f>IF($CI$34="","リーグ4・4位",VLOOKUP(4,$BI$34:$BZ$47,5,FALSE))</f>
        <v>藤井</v>
      </c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 t="str">
        <f>IF($CI$34="","",VLOOKUP(4,$BI$34:$BZ$47,14,FALSE))</f>
        <v>岩崎</v>
      </c>
      <c r="AA94" s="426"/>
      <c r="AB94" s="426"/>
      <c r="AC94" s="426"/>
      <c r="AD94" s="426"/>
      <c r="AE94" s="426"/>
      <c r="AF94" s="426"/>
      <c r="AG94" s="426"/>
      <c r="AH94" s="426"/>
      <c r="AI94" s="426"/>
      <c r="AJ94" s="18"/>
      <c r="AK94" s="18"/>
      <c r="AL94" s="590"/>
      <c r="AM94" s="590"/>
      <c r="AN94" s="590"/>
      <c r="AO94" s="590"/>
      <c r="AP94" s="590"/>
      <c r="AQ94" s="614" t="s">
        <v>1847</v>
      </c>
      <c r="AR94" s="591"/>
      <c r="AS94" s="591"/>
      <c r="AT94" s="591"/>
      <c r="AU94" s="414"/>
      <c r="AV94" s="389" t="s">
        <v>1856</v>
      </c>
      <c r="AW94" s="426"/>
      <c r="AX94" s="426"/>
      <c r="AY94" s="426"/>
      <c r="AZ94" s="618"/>
      <c r="BA94" s="614" t="s">
        <v>1848</v>
      </c>
      <c r="BB94" s="591"/>
      <c r="BC94" s="591"/>
      <c r="BD94" s="597"/>
      <c r="BE94" s="590"/>
      <c r="BF94" s="590"/>
      <c r="BG94" s="590"/>
      <c r="BH94" s="590"/>
      <c r="BI94" s="590"/>
      <c r="BJ94" s="590"/>
      <c r="BK94" s="296"/>
      <c r="BL94" s="296"/>
      <c r="BM94" s="426" t="str">
        <f>IF(Z66="","リーグ2・4位",VLOOKUP(4,$B$34:$S$47,5,FALSE))</f>
        <v>八木</v>
      </c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 t="str">
        <f>IF(Z66="","",VLOOKUP(4,$B$34:$S$47,14,FALSE))</f>
        <v>木村</v>
      </c>
      <c r="BZ94" s="426" t="str">
        <f aca="true" t="shared" si="6" ref="BZ94:CH97">IF(AI70="","リーグ2・2位",VLOOKUP(2,$B$34:$S$47,5,FALSE))</f>
        <v>リーグ2・2位</v>
      </c>
      <c r="CA94" s="426" t="str">
        <f t="shared" si="6"/>
        <v>リーグ2・2位</v>
      </c>
      <c r="CB94" s="426" t="str">
        <f t="shared" si="6"/>
        <v>リーグ2・2位</v>
      </c>
      <c r="CC94" s="426" t="str">
        <f t="shared" si="6"/>
        <v>リーグ2・2位</v>
      </c>
      <c r="CD94" s="426" t="str">
        <f t="shared" si="6"/>
        <v>リーグ2・2位</v>
      </c>
      <c r="CE94" s="426" t="str">
        <f t="shared" si="6"/>
        <v>リーグ2・2位</v>
      </c>
      <c r="CF94" s="426" t="str">
        <f t="shared" si="6"/>
        <v>リーグ2・2位</v>
      </c>
      <c r="CG94" s="426" t="str">
        <f t="shared" si="6"/>
        <v>リーグ2・2位</v>
      </c>
      <c r="CH94" s="426" t="str">
        <f t="shared" si="6"/>
        <v>リーグ2・2位</v>
      </c>
      <c r="DH94" s="7"/>
      <c r="DI94" s="31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</row>
    <row r="95" spans="2:125" s="18" customFormat="1" ht="7.5" customHeight="1" thickBot="1">
      <c r="B95" s="3"/>
      <c r="C95" s="3"/>
      <c r="D95" s="3"/>
      <c r="E95" s="3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L95" s="590"/>
      <c r="AM95" s="590"/>
      <c r="AN95" s="590"/>
      <c r="AO95" s="590"/>
      <c r="AP95" s="590"/>
      <c r="AQ95" s="615"/>
      <c r="AR95" s="426"/>
      <c r="AS95" s="426"/>
      <c r="AT95" s="426"/>
      <c r="AU95" s="414"/>
      <c r="AV95" s="426"/>
      <c r="AW95" s="426"/>
      <c r="AX95" s="426"/>
      <c r="AY95" s="426"/>
      <c r="AZ95" s="618"/>
      <c r="BA95" s="615"/>
      <c r="BB95" s="426"/>
      <c r="BC95" s="426"/>
      <c r="BD95" s="427"/>
      <c r="BE95" s="25"/>
      <c r="BF95" s="17"/>
      <c r="BG95" s="17"/>
      <c r="BH95" s="17"/>
      <c r="BI95" s="11"/>
      <c r="BJ95" s="11"/>
      <c r="BK95" s="3"/>
      <c r="BL95" s="3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 t="str">
        <f>IF(AH71="","リーグ2・2位",VLOOKUP(2,$B$34:$S$47,5,FALSE))</f>
        <v>リーグ2・2位</v>
      </c>
      <c r="BZ95" s="426" t="str">
        <f t="shared" si="6"/>
        <v>リーグ2・2位</v>
      </c>
      <c r="CA95" s="426" t="str">
        <f t="shared" si="6"/>
        <v>リーグ2・2位</v>
      </c>
      <c r="CB95" s="426" t="str">
        <f t="shared" si="6"/>
        <v>リーグ2・2位</v>
      </c>
      <c r="CC95" s="426" t="str">
        <f t="shared" si="6"/>
        <v>リーグ2・2位</v>
      </c>
      <c r="CD95" s="426" t="str">
        <f t="shared" si="6"/>
        <v>リーグ2・2位</v>
      </c>
      <c r="CE95" s="426" t="str">
        <f t="shared" si="6"/>
        <v>リーグ2・2位</v>
      </c>
      <c r="CF95" s="426" t="str">
        <f t="shared" si="6"/>
        <v>リーグ2・2位</v>
      </c>
      <c r="CG95" s="426" t="str">
        <f t="shared" si="6"/>
        <v>リーグ2・2位</v>
      </c>
      <c r="CH95" s="426" t="str">
        <f t="shared" si="6"/>
        <v>リーグ2・2位</v>
      </c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2"/>
      <c r="DH95" s="7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</row>
    <row r="96" spans="2:125" s="18" customFormat="1" ht="7.5" customHeight="1">
      <c r="B96" s="3"/>
      <c r="C96" s="3"/>
      <c r="D96" s="3"/>
      <c r="E96" s="3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17"/>
      <c r="AK96" s="417"/>
      <c r="AL96" s="415"/>
      <c r="AM96" s="415"/>
      <c r="AN96" s="415"/>
      <c r="AO96" s="415"/>
      <c r="AP96" s="3"/>
      <c r="AQ96" s="3"/>
      <c r="AR96" s="3"/>
      <c r="AS96" s="3"/>
      <c r="AT96" s="3"/>
      <c r="AU96" s="414"/>
      <c r="AV96" s="426"/>
      <c r="AW96" s="426"/>
      <c r="AX96" s="426"/>
      <c r="AY96" s="426"/>
      <c r="AZ96" s="618"/>
      <c r="BA96" s="3"/>
      <c r="BB96" s="3"/>
      <c r="BC96" s="3"/>
      <c r="BD96" s="3"/>
      <c r="BK96" s="295"/>
      <c r="BL96" s="295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 t="str">
        <f>IF(AH72="","リーグ2・2位",VLOOKUP(2,$B$34:$S$47,5,FALSE))</f>
        <v>リーグ2・2位</v>
      </c>
      <c r="BZ96" s="426" t="str">
        <f t="shared" si="6"/>
        <v>リーグ2・2位</v>
      </c>
      <c r="CA96" s="426" t="str">
        <f t="shared" si="6"/>
        <v>リーグ2・2位</v>
      </c>
      <c r="CB96" s="426" t="str">
        <f t="shared" si="6"/>
        <v>リーグ2・2位</v>
      </c>
      <c r="CC96" s="426" t="str">
        <f t="shared" si="6"/>
        <v>リーグ2・2位</v>
      </c>
      <c r="CD96" s="426" t="str">
        <f t="shared" si="6"/>
        <v>リーグ2・2位</v>
      </c>
      <c r="CE96" s="426" t="str">
        <f t="shared" si="6"/>
        <v>リーグ2・2位</v>
      </c>
      <c r="CF96" s="426" t="str">
        <f t="shared" si="6"/>
        <v>リーグ2・2位</v>
      </c>
      <c r="CG96" s="426" t="str">
        <f t="shared" si="6"/>
        <v>リーグ2・2位</v>
      </c>
      <c r="CH96" s="426" t="str">
        <f t="shared" si="6"/>
        <v>リーグ2・2位</v>
      </c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</row>
    <row r="97" spans="2:125" s="18" customFormat="1" ht="7.5" customHeight="1" thickBot="1">
      <c r="B97" s="3"/>
      <c r="C97" s="3"/>
      <c r="D97" s="3"/>
      <c r="E97" s="3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L97" s="3"/>
      <c r="AM97" s="3"/>
      <c r="AN97" s="3"/>
      <c r="AO97" s="3"/>
      <c r="AP97" s="3"/>
      <c r="AQ97" s="3"/>
      <c r="AR97" s="3"/>
      <c r="AS97" s="426" t="s">
        <v>1738</v>
      </c>
      <c r="AT97" s="426"/>
      <c r="AU97" s="420"/>
      <c r="AV97" s="8"/>
      <c r="AW97" s="3"/>
      <c r="AX97" s="3"/>
      <c r="AY97" s="9"/>
      <c r="AZ97" s="422"/>
      <c r="BA97" s="426" t="s">
        <v>1740</v>
      </c>
      <c r="BB97" s="426"/>
      <c r="BC97" s="2"/>
      <c r="BD97" s="3"/>
      <c r="BK97" s="295"/>
      <c r="BL97" s="295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 t="str">
        <f>IF(AH73="","リーグ2・2位",VLOOKUP(2,$B$34:$S$47,5,FALSE))</f>
        <v>リーグ2・2位</v>
      </c>
      <c r="BZ97" s="426" t="str">
        <f t="shared" si="6"/>
        <v>リーグ2・2位</v>
      </c>
      <c r="CA97" s="426" t="str">
        <f t="shared" si="6"/>
        <v>リーグ2・2位</v>
      </c>
      <c r="CB97" s="426" t="str">
        <f t="shared" si="6"/>
        <v>リーグ2・2位</v>
      </c>
      <c r="CC97" s="426" t="str">
        <f t="shared" si="6"/>
        <v>リーグ2・2位</v>
      </c>
      <c r="CD97" s="426" t="str">
        <f t="shared" si="6"/>
        <v>リーグ2・2位</v>
      </c>
      <c r="CE97" s="426" t="str">
        <f t="shared" si="6"/>
        <v>リーグ2・2位</v>
      </c>
      <c r="CF97" s="426" t="str">
        <f t="shared" si="6"/>
        <v>リーグ2・2位</v>
      </c>
      <c r="CG97" s="426" t="str">
        <f t="shared" si="6"/>
        <v>リーグ2・2位</v>
      </c>
      <c r="CH97" s="426" t="str">
        <f t="shared" si="6"/>
        <v>リーグ2・2位</v>
      </c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</row>
    <row r="98" spans="2:125" s="18" customFormat="1" ht="7.5" customHeight="1">
      <c r="B98" s="3"/>
      <c r="C98" s="3"/>
      <c r="D98" s="3"/>
      <c r="E98" s="3"/>
      <c r="O98" s="426" t="s">
        <v>1836</v>
      </c>
      <c r="P98" s="426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Q98" s="3"/>
      <c r="AR98" s="3"/>
      <c r="AS98" s="426"/>
      <c r="AT98" s="427"/>
      <c r="AU98" s="616" t="s">
        <v>1853</v>
      </c>
      <c r="AV98" s="426"/>
      <c r="AW98" s="617"/>
      <c r="AX98" s="617"/>
      <c r="AY98" s="617"/>
      <c r="AZ98" s="427"/>
      <c r="BA98" s="426"/>
      <c r="BB98" s="426"/>
      <c r="BC98" s="2"/>
      <c r="BD98" s="3"/>
      <c r="BK98" s="295"/>
      <c r="BL98" s="295"/>
      <c r="BM98" s="426" t="str">
        <f>IF(X46="","リーグ1.4位",VLOOKUP(4,$B$10:$S$25,5,FALSE))</f>
        <v>福岡</v>
      </c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 t="str">
        <f>IF(X46="","",VLOOKUP(4,$B$10:$S$25,14,FALSE))</f>
        <v>岩崎</v>
      </c>
      <c r="BZ98" s="426" t="str">
        <f aca="true" t="shared" si="7" ref="BZ98:CH101">IF(AI46="","リーグ1.2位",VLOOKUP(2,$B$10:$S$25,5,FALSE))</f>
        <v>リーグ1.2位</v>
      </c>
      <c r="CA98" s="426" t="str">
        <f t="shared" si="7"/>
        <v>池端</v>
      </c>
      <c r="CB98" s="426" t="str">
        <f t="shared" si="7"/>
        <v>リーグ1.2位</v>
      </c>
      <c r="CC98" s="426" t="str">
        <f t="shared" si="7"/>
        <v>リーグ1.2位</v>
      </c>
      <c r="CD98" s="426" t="str">
        <f t="shared" si="7"/>
        <v>池端</v>
      </c>
      <c r="CE98" s="426" t="str">
        <f t="shared" si="7"/>
        <v>池端</v>
      </c>
      <c r="CF98" s="426" t="str">
        <f t="shared" si="7"/>
        <v>リーグ1.2位</v>
      </c>
      <c r="CG98" s="426" t="str">
        <f t="shared" si="7"/>
        <v>リーグ1.2位</v>
      </c>
      <c r="CH98" s="426" t="str">
        <f t="shared" si="7"/>
        <v>リーグ1.2位</v>
      </c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</row>
    <row r="99" spans="2:129" s="18" customFormat="1" ht="7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17"/>
      <c r="AK99" s="17"/>
      <c r="AL99" s="11"/>
      <c r="AM99" s="40"/>
      <c r="AN99" s="17"/>
      <c r="AO99" s="17"/>
      <c r="AQ99" s="3"/>
      <c r="AR99" s="3"/>
      <c r="AS99" s="3"/>
      <c r="AT99" s="24"/>
      <c r="AU99" s="345"/>
      <c r="AV99" s="426"/>
      <c r="AW99" s="426"/>
      <c r="AX99" s="426"/>
      <c r="AY99" s="426"/>
      <c r="AZ99" s="427"/>
      <c r="BA99" s="3"/>
      <c r="BB99" s="3"/>
      <c r="BC99" s="3"/>
      <c r="BD99" s="3"/>
      <c r="BE99" s="17"/>
      <c r="BF99" s="17"/>
      <c r="BG99" s="17"/>
      <c r="BH99" s="17"/>
      <c r="BI99" s="11"/>
      <c r="BJ99" s="11"/>
      <c r="BK99" s="3"/>
      <c r="BL99" s="3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 t="str">
        <f>IF(AH47="","リーグ1.2位",VLOOKUP(2,$B$10:$S$25,5,FALSE))</f>
        <v>リーグ1.2位</v>
      </c>
      <c r="BZ99" s="426" t="str">
        <f t="shared" si="7"/>
        <v>リーグ1.2位</v>
      </c>
      <c r="CA99" s="426" t="str">
        <f t="shared" si="7"/>
        <v>リーグ1.2位</v>
      </c>
      <c r="CB99" s="426" t="str">
        <f t="shared" si="7"/>
        <v>リーグ1.2位</v>
      </c>
      <c r="CC99" s="426" t="str">
        <f t="shared" si="7"/>
        <v>リーグ1.2位</v>
      </c>
      <c r="CD99" s="426" t="str">
        <f t="shared" si="7"/>
        <v>リーグ1.2位</v>
      </c>
      <c r="CE99" s="426" t="str">
        <f t="shared" si="7"/>
        <v>リーグ1.2位</v>
      </c>
      <c r="CF99" s="426" t="str">
        <f t="shared" si="7"/>
        <v>リーグ1.2位</v>
      </c>
      <c r="CG99" s="426" t="str">
        <f t="shared" si="7"/>
        <v>リーグ1.2位</v>
      </c>
      <c r="CH99" s="426" t="str">
        <f t="shared" si="7"/>
        <v>リーグ1.2位</v>
      </c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</row>
    <row r="100" spans="2:130" s="18" customFormat="1" ht="7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L100" s="424" t="s">
        <v>1735</v>
      </c>
      <c r="AM100" s="424"/>
      <c r="AN100" s="424"/>
      <c r="AO100" s="425"/>
      <c r="AP100" s="30"/>
      <c r="AQ100" s="3"/>
      <c r="AR100" s="3"/>
      <c r="AS100" s="3"/>
      <c r="AT100" s="24"/>
      <c r="AU100" s="3"/>
      <c r="AV100" s="3"/>
      <c r="AW100" s="3"/>
      <c r="AX100" s="3"/>
      <c r="AY100" s="3"/>
      <c r="AZ100" s="24"/>
      <c r="BA100" s="3"/>
      <c r="BB100" s="3"/>
      <c r="BC100" s="3"/>
      <c r="BD100" s="24"/>
      <c r="BI100" s="3"/>
      <c r="BJ100" s="3"/>
      <c r="BK100" s="3"/>
      <c r="BL100" s="3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 t="str">
        <f>IF(AH48="","リーグ1.2位",VLOOKUP(2,$B$10:$S$25,5,FALSE))</f>
        <v>リーグ1.2位</v>
      </c>
      <c r="BZ100" s="426" t="str">
        <f t="shared" si="7"/>
        <v>リーグ1.2位</v>
      </c>
      <c r="CA100" s="426" t="str">
        <f t="shared" si="7"/>
        <v>リーグ1.2位</v>
      </c>
      <c r="CB100" s="426" t="str">
        <f t="shared" si="7"/>
        <v>リーグ1.2位</v>
      </c>
      <c r="CC100" s="426" t="str">
        <f t="shared" si="7"/>
        <v>リーグ1.2位</v>
      </c>
      <c r="CD100" s="426" t="str">
        <f t="shared" si="7"/>
        <v>リーグ1.2位</v>
      </c>
      <c r="CE100" s="426" t="str">
        <f t="shared" si="7"/>
        <v>リーグ1.2位</v>
      </c>
      <c r="CF100" s="426" t="str">
        <f t="shared" si="7"/>
        <v>リーグ1.2位</v>
      </c>
      <c r="CG100" s="426" t="str">
        <f t="shared" si="7"/>
        <v>リーグ1.2位</v>
      </c>
      <c r="CH100" s="426" t="str">
        <f t="shared" si="7"/>
        <v>リーグ1.2位</v>
      </c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1"/>
      <c r="DI100" s="3"/>
      <c r="DJ100" s="3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</row>
    <row r="101" spans="2:147" s="18" customFormat="1" ht="7.5" customHeight="1" thickBo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L101" s="426"/>
      <c r="AM101" s="426"/>
      <c r="AN101" s="426"/>
      <c r="AO101" s="427"/>
      <c r="AP101" s="72"/>
      <c r="AQ101" s="8"/>
      <c r="AR101" s="8"/>
      <c r="AS101" s="8"/>
      <c r="AT101" s="43"/>
      <c r="AU101" s="3"/>
      <c r="AV101" s="2"/>
      <c r="AW101" s="2"/>
      <c r="AX101" s="2"/>
      <c r="AY101" s="2"/>
      <c r="AZ101" s="24"/>
      <c r="BA101" s="8"/>
      <c r="BB101" s="8"/>
      <c r="BC101" s="8"/>
      <c r="BD101" s="43"/>
      <c r="BE101" s="589" t="s">
        <v>1737</v>
      </c>
      <c r="BF101" s="590"/>
      <c r="BG101" s="590"/>
      <c r="BK101" s="295"/>
      <c r="BL101" s="295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 t="str">
        <f>IF(AH49="","リーグ1.2位",VLOOKUP(2,$B$10:$S$25,5,FALSE))</f>
        <v>リーグ1.2位</v>
      </c>
      <c r="BZ101" s="426" t="str">
        <f t="shared" si="7"/>
        <v>リーグ1.2位</v>
      </c>
      <c r="CA101" s="426" t="str">
        <f t="shared" si="7"/>
        <v>池端</v>
      </c>
      <c r="CB101" s="426" t="str">
        <f t="shared" si="7"/>
        <v>リーグ1.2位</v>
      </c>
      <c r="CC101" s="426" t="str">
        <f t="shared" si="7"/>
        <v>リーグ1.2位</v>
      </c>
      <c r="CD101" s="426" t="str">
        <f t="shared" si="7"/>
        <v>リーグ1.2位</v>
      </c>
      <c r="CE101" s="426" t="str">
        <f t="shared" si="7"/>
        <v>リーグ1.2位</v>
      </c>
      <c r="CF101" s="426" t="str">
        <f t="shared" si="7"/>
        <v>リーグ1.2位</v>
      </c>
      <c r="CG101" s="426" t="str">
        <f t="shared" si="7"/>
        <v>リーグ1.2位</v>
      </c>
      <c r="CH101" s="426" t="str">
        <f t="shared" si="7"/>
        <v>リーグ1.2位</v>
      </c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1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</row>
    <row r="102" spans="2:161" s="18" customFormat="1" ht="7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26" t="str">
        <f>IF($AB$34="","リーグ2・3位",VLOOKUP(3,$B$34:$S$49,5,FALSE))</f>
        <v>川上</v>
      </c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 t="str">
        <f>IF($AB$34="","",VLOOKUP(3,$B$34:$S$49,14,FALSE))</f>
        <v>吉岡</v>
      </c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3"/>
      <c r="AK102" s="3"/>
      <c r="AL102" s="426"/>
      <c r="AM102" s="426"/>
      <c r="AN102" s="426"/>
      <c r="AO102" s="426"/>
      <c r="AP102" s="409"/>
      <c r="AQ102" s="426"/>
      <c r="AR102" s="426"/>
      <c r="AS102" s="426"/>
      <c r="AT102" s="426"/>
      <c r="AU102" s="426"/>
      <c r="AV102" s="2"/>
      <c r="AW102" s="2"/>
      <c r="AX102" s="2"/>
      <c r="AY102" s="2"/>
      <c r="BA102" s="619" t="s">
        <v>1849</v>
      </c>
      <c r="BB102" s="591"/>
      <c r="BC102" s="591"/>
      <c r="BD102" s="620"/>
      <c r="BE102" s="590"/>
      <c r="BF102" s="590"/>
      <c r="BG102" s="590"/>
      <c r="BK102" s="295"/>
      <c r="BL102" s="295"/>
      <c r="BM102" s="426" t="str">
        <f>IF($CI$34="","リーグ4・3位",VLOOKUP(3,$BI$34:$BZ$47,5,FALSE))</f>
        <v>片岡</v>
      </c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 t="str">
        <f>IF($CI$34="","",VLOOKUP(3,$BI$34:$BZ$47,14,FALSE))</f>
        <v>廣部</v>
      </c>
      <c r="BZ102" s="426" t="str">
        <f aca="true" t="shared" si="8" ref="BZ102:CH102">IF($CI$34="","リーグ4・1位",VLOOKUP(1,$BI$34:$BZ$47,5,FALSE))</f>
        <v>吉野</v>
      </c>
      <c r="CA102" s="426" t="str">
        <f t="shared" si="8"/>
        <v>吉野</v>
      </c>
      <c r="CB102" s="426" t="str">
        <f t="shared" si="8"/>
        <v>吉野</v>
      </c>
      <c r="CC102" s="426" t="str">
        <f t="shared" si="8"/>
        <v>吉野</v>
      </c>
      <c r="CD102" s="426" t="str">
        <f t="shared" si="8"/>
        <v>吉野</v>
      </c>
      <c r="CE102" s="426" t="str">
        <f t="shared" si="8"/>
        <v>吉野</v>
      </c>
      <c r="CF102" s="426" t="str">
        <f t="shared" si="8"/>
        <v>吉野</v>
      </c>
      <c r="CG102" s="426" t="str">
        <f t="shared" si="8"/>
        <v>吉野</v>
      </c>
      <c r="CH102" s="426" t="str">
        <f t="shared" si="8"/>
        <v>吉野</v>
      </c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2:170" s="18" customFormat="1" ht="7.5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21"/>
      <c r="AK103" s="21"/>
      <c r="AL103" s="621"/>
      <c r="AM103" s="621"/>
      <c r="AN103" s="621"/>
      <c r="AO103" s="621"/>
      <c r="AP103" s="407"/>
      <c r="AQ103" s="426"/>
      <c r="AR103" s="426"/>
      <c r="AS103" s="426"/>
      <c r="AT103" s="426"/>
      <c r="AU103" s="426"/>
      <c r="BA103" s="426"/>
      <c r="BB103" s="426"/>
      <c r="BC103" s="426"/>
      <c r="BD103" s="618"/>
      <c r="BE103" s="21"/>
      <c r="BF103" s="21"/>
      <c r="BG103" s="21"/>
      <c r="BH103" s="21"/>
      <c r="BI103" s="17"/>
      <c r="BJ103" s="17"/>
      <c r="BK103" s="295"/>
      <c r="BL103" s="295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 t="str">
        <f aca="true" t="shared" si="9" ref="BY103:CH105">IF($CI$34="","リーグ4・1位",VLOOKUP(1,$BI$34:$BZ$47,5,FALSE))</f>
        <v>吉野</v>
      </c>
      <c r="BZ103" s="426" t="str">
        <f t="shared" si="9"/>
        <v>吉野</v>
      </c>
      <c r="CA103" s="426" t="str">
        <f t="shared" si="9"/>
        <v>吉野</v>
      </c>
      <c r="CB103" s="426" t="str">
        <f t="shared" si="9"/>
        <v>吉野</v>
      </c>
      <c r="CC103" s="426" t="str">
        <f t="shared" si="9"/>
        <v>吉野</v>
      </c>
      <c r="CD103" s="426" t="str">
        <f t="shared" si="9"/>
        <v>吉野</v>
      </c>
      <c r="CE103" s="426" t="str">
        <f t="shared" si="9"/>
        <v>吉野</v>
      </c>
      <c r="CF103" s="426" t="str">
        <f t="shared" si="9"/>
        <v>吉野</v>
      </c>
      <c r="CG103" s="426" t="str">
        <f t="shared" si="9"/>
        <v>吉野</v>
      </c>
      <c r="CH103" s="426" t="str">
        <f t="shared" si="9"/>
        <v>吉野</v>
      </c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</row>
    <row r="104" spans="2:162" s="18" customFormat="1" ht="7.5" customHeight="1">
      <c r="B104" s="3"/>
      <c r="C104" s="3"/>
      <c r="D104" s="3"/>
      <c r="E104" s="3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 t="str">
        <f t="shared" si="9"/>
        <v>吉野</v>
      </c>
      <c r="BZ104" s="426" t="str">
        <f t="shared" si="9"/>
        <v>吉野</v>
      </c>
      <c r="CA104" s="426" t="str">
        <f t="shared" si="9"/>
        <v>吉野</v>
      </c>
      <c r="CB104" s="426" t="str">
        <f t="shared" si="9"/>
        <v>吉野</v>
      </c>
      <c r="CC104" s="426" t="str">
        <f t="shared" si="9"/>
        <v>吉野</v>
      </c>
      <c r="CD104" s="426" t="str">
        <f t="shared" si="9"/>
        <v>吉野</v>
      </c>
      <c r="CE104" s="426" t="str">
        <f t="shared" si="9"/>
        <v>吉野</v>
      </c>
      <c r="CF104" s="426" t="str">
        <f t="shared" si="9"/>
        <v>吉野</v>
      </c>
      <c r="CG104" s="426" t="str">
        <f t="shared" si="9"/>
        <v>吉野</v>
      </c>
      <c r="CH104" s="426" t="str">
        <f t="shared" si="9"/>
        <v>吉野</v>
      </c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</row>
    <row r="105" spans="2:148" s="18" customFormat="1" ht="7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 t="str">
        <f t="shared" si="9"/>
        <v>吉野</v>
      </c>
      <c r="BZ105" s="426" t="str">
        <f t="shared" si="9"/>
        <v>吉野</v>
      </c>
      <c r="CA105" s="426" t="str">
        <f t="shared" si="9"/>
        <v>吉野</v>
      </c>
      <c r="CB105" s="426" t="str">
        <f t="shared" si="9"/>
        <v>吉野</v>
      </c>
      <c r="CC105" s="426" t="str">
        <f t="shared" si="9"/>
        <v>吉野</v>
      </c>
      <c r="CD105" s="426" t="str">
        <f t="shared" si="9"/>
        <v>吉野</v>
      </c>
      <c r="CE105" s="426" t="str">
        <f t="shared" si="9"/>
        <v>吉野</v>
      </c>
      <c r="CF105" s="426" t="str">
        <f t="shared" si="9"/>
        <v>吉野</v>
      </c>
      <c r="CG105" s="426" t="str">
        <f t="shared" si="9"/>
        <v>吉野</v>
      </c>
      <c r="CH105" s="426" t="str">
        <f t="shared" si="9"/>
        <v>吉野</v>
      </c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7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2:147" s="18" customFormat="1" ht="7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7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</row>
    <row r="107" spans="2:146" s="18" customFormat="1" ht="7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7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</row>
    <row r="108" spans="2:147" s="18" customFormat="1" ht="7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7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</row>
    <row r="111" ht="7.5" customHeight="1">
      <c r="ER111" s="2"/>
    </row>
    <row r="121" ht="7.5" customHeight="1">
      <c r="DF121" s="7"/>
    </row>
    <row r="122" ht="7.5" customHeight="1">
      <c r="DF122" s="7"/>
    </row>
    <row r="123" ht="7.5" customHeight="1">
      <c r="DF123" s="7"/>
    </row>
    <row r="124" ht="7.5" customHeight="1">
      <c r="DF124" s="7"/>
    </row>
    <row r="125" ht="7.5" customHeight="1">
      <c r="DF125" s="7"/>
    </row>
    <row r="126" ht="7.5" customHeight="1">
      <c r="DF126" s="7"/>
    </row>
    <row r="127" spans="110:112" ht="7.5" customHeight="1">
      <c r="DF127" s="7"/>
      <c r="DH127" s="2"/>
    </row>
    <row r="128" spans="110:145" ht="7.5" customHeight="1">
      <c r="DF128" s="7"/>
      <c r="EG128" s="2"/>
      <c r="EH128" s="12"/>
      <c r="EI128" s="12"/>
      <c r="EJ128" s="12"/>
      <c r="EK128" s="12"/>
      <c r="EL128" s="12"/>
      <c r="EM128" s="12"/>
      <c r="EN128" s="12"/>
      <c r="EO128" s="12"/>
    </row>
    <row r="129" spans="110:111" ht="7.5" customHeight="1">
      <c r="DF129" s="7"/>
      <c r="DG129" s="2"/>
    </row>
    <row r="130" ht="7.5" customHeight="1">
      <c r="DF130" s="7"/>
    </row>
    <row r="131" spans="2:118" s="18" customFormat="1" ht="7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7"/>
      <c r="DG131" s="3"/>
      <c r="DH131" s="3"/>
      <c r="DI131" s="3"/>
      <c r="DJ131" s="3"/>
      <c r="DK131" s="3"/>
      <c r="DL131" s="3"/>
      <c r="DM131" s="3"/>
      <c r="DN131" s="3"/>
    </row>
    <row r="132" spans="2:154" s="18" customFormat="1" ht="7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7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</row>
    <row r="133" spans="2:161" s="18" customFormat="1" ht="7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</row>
    <row r="134" spans="2:153" s="18" customFormat="1" ht="7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</row>
    <row r="135" spans="2:139" s="18" customFormat="1" ht="7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</row>
    <row r="136" spans="2:139" s="18" customFormat="1" ht="7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</row>
    <row r="137" spans="2:139" s="18" customFormat="1" ht="7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</row>
    <row r="138" spans="2:139" s="18" customFormat="1" ht="7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</row>
    <row r="139" spans="119:139" ht="7.5" customHeight="1"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</row>
    <row r="141" ht="7.5" customHeight="1">
      <c r="EL141" s="2"/>
    </row>
    <row r="145" spans="112:118" ht="7.5" customHeight="1">
      <c r="DH145" s="2"/>
      <c r="DI145" s="2"/>
      <c r="DJ145" s="2"/>
      <c r="DK145" s="2"/>
      <c r="DM145" s="18"/>
      <c r="DN145" s="18"/>
    </row>
    <row r="146" spans="2:129" s="18" customFormat="1" ht="7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2"/>
      <c r="DI146" s="2"/>
      <c r="DJ146" s="2"/>
      <c r="DK146" s="2"/>
      <c r="DL146" s="2"/>
      <c r="DM146" s="2"/>
      <c r="DN146" s="2"/>
      <c r="DO146" s="2"/>
      <c r="DR146" s="3"/>
      <c r="DS146" s="3"/>
      <c r="DT146" s="3"/>
      <c r="DU146" s="3"/>
      <c r="DV146" s="3"/>
      <c r="DW146" s="3"/>
      <c r="DX146" s="3"/>
      <c r="DY146" s="3"/>
    </row>
    <row r="147" spans="2:142" s="18" customFormat="1" ht="7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</row>
    <row r="148" spans="2:151" s="18" customFormat="1" ht="7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</row>
    <row r="149" spans="2:156" s="18" customFormat="1" ht="7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2"/>
      <c r="DI149" s="2"/>
      <c r="DJ149" s="2"/>
      <c r="DK149" s="2"/>
      <c r="DL149" s="2"/>
      <c r="DM149" s="2"/>
      <c r="DN149" s="2"/>
      <c r="DO149" s="2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</row>
    <row r="150" spans="2:143" s="18" customFormat="1" ht="7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2"/>
      <c r="DI150" s="2"/>
      <c r="DJ150" s="2"/>
      <c r="DK150" s="2"/>
      <c r="DL150" s="2"/>
      <c r="DM150" s="2"/>
      <c r="DN150" s="2"/>
      <c r="DO150" s="2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2"/>
    </row>
    <row r="151" spans="2:143" s="18" customFormat="1" ht="7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2"/>
      <c r="DI151" s="2"/>
      <c r="DJ151" s="2"/>
      <c r="DK151" s="2"/>
      <c r="DL151" s="2"/>
      <c r="DM151" s="2"/>
      <c r="DN151" s="2"/>
      <c r="DO151" s="2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2"/>
    </row>
    <row r="152" spans="2:143" s="18" customFormat="1" ht="7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2"/>
      <c r="DI152" s="2"/>
      <c r="DJ152" s="2"/>
      <c r="DK152" s="2"/>
      <c r="DL152" s="2"/>
      <c r="DM152" s="2"/>
      <c r="DN152" s="2"/>
      <c r="DO152" s="2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</row>
    <row r="153" spans="2:143" s="18" customFormat="1" ht="7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2"/>
      <c r="DI153" s="2"/>
      <c r="DJ153" s="2"/>
      <c r="DK153" s="2"/>
      <c r="DL153" s="2"/>
      <c r="DM153" s="2"/>
      <c r="DN153" s="2"/>
      <c r="DO153" s="2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3"/>
    </row>
    <row r="154" spans="112:143" ht="7.5" customHeight="1">
      <c r="DH154" s="2"/>
      <c r="DI154" s="2"/>
      <c r="DJ154" s="2"/>
      <c r="DK154" s="2"/>
      <c r="DL154" s="2"/>
      <c r="DM154" s="2"/>
      <c r="DN154" s="2"/>
      <c r="DO154" s="2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2"/>
    </row>
    <row r="155" spans="112:143" ht="7.5" customHeight="1">
      <c r="DH155" s="2"/>
      <c r="DI155" s="2"/>
      <c r="DJ155" s="2"/>
      <c r="DK155" s="2"/>
      <c r="DL155" s="2"/>
      <c r="DM155" s="2"/>
      <c r="DN155" s="2"/>
      <c r="DO155" s="2"/>
      <c r="EM155" s="2"/>
    </row>
    <row r="156" spans="112:143" ht="7.5" customHeight="1">
      <c r="DH156" s="2"/>
      <c r="DI156" s="2"/>
      <c r="DJ156" s="2"/>
      <c r="DK156" s="2"/>
      <c r="DL156" s="2"/>
      <c r="DM156" s="2"/>
      <c r="DN156" s="2"/>
      <c r="DO156" s="2"/>
      <c r="EM156" s="2"/>
    </row>
    <row r="157" spans="112:119" ht="7.5" customHeight="1">
      <c r="DH157" s="2"/>
      <c r="DI157" s="2"/>
      <c r="DJ157" s="2"/>
      <c r="DK157" s="2"/>
      <c r="DL157" s="2"/>
      <c r="DM157" s="2"/>
      <c r="DN157" s="2"/>
      <c r="DO157" s="2"/>
    </row>
    <row r="158" spans="112:116" ht="7.5" customHeight="1">
      <c r="DH158" s="2"/>
      <c r="DI158" s="2"/>
      <c r="DJ158" s="2"/>
      <c r="DK158" s="2"/>
      <c r="DL158" s="2"/>
    </row>
    <row r="159" ht="7.5" customHeight="1">
      <c r="DL159" s="2"/>
    </row>
  </sheetData>
  <mergeCells count="548">
    <mergeCell ref="CP1:DN3"/>
    <mergeCell ref="AL56:AP59"/>
    <mergeCell ref="AL64:AO67"/>
    <mergeCell ref="AL92:AP95"/>
    <mergeCell ref="C4:BG5"/>
    <mergeCell ref="BJ4:DN5"/>
    <mergeCell ref="C28:BG29"/>
    <mergeCell ref="BJ28:DN29"/>
    <mergeCell ref="O94:Y97"/>
    <mergeCell ref="Z94:AI97"/>
    <mergeCell ref="O102:Y105"/>
    <mergeCell ref="Z102:AI105"/>
    <mergeCell ref="AQ102:AU103"/>
    <mergeCell ref="BA102:BD103"/>
    <mergeCell ref="AL100:AO103"/>
    <mergeCell ref="O98:Y101"/>
    <mergeCell ref="Z98:AI101"/>
    <mergeCell ref="BM98:BX101"/>
    <mergeCell ref="BY98:CH101"/>
    <mergeCell ref="BE101:BG102"/>
    <mergeCell ref="BM102:BX105"/>
    <mergeCell ref="BY102:CH105"/>
    <mergeCell ref="AQ94:AT95"/>
    <mergeCell ref="BA94:BD95"/>
    <mergeCell ref="AS97:AT98"/>
    <mergeCell ref="BA97:BB98"/>
    <mergeCell ref="AU98:AZ99"/>
    <mergeCell ref="AV94:AZ96"/>
    <mergeCell ref="BY90:CH93"/>
    <mergeCell ref="BE93:BJ94"/>
    <mergeCell ref="BM94:BX97"/>
    <mergeCell ref="BY94:CH97"/>
    <mergeCell ref="AU87:BF89"/>
    <mergeCell ref="O90:Y93"/>
    <mergeCell ref="Z90:AI93"/>
    <mergeCell ref="BM90:BX93"/>
    <mergeCell ref="AV90:AZ92"/>
    <mergeCell ref="BM54:BX57"/>
    <mergeCell ref="BM58:BX61"/>
    <mergeCell ref="BM62:BX65"/>
    <mergeCell ref="BM66:BX69"/>
    <mergeCell ref="F12:J12"/>
    <mergeCell ref="O12:S12"/>
    <mergeCell ref="BM12:BQ12"/>
    <mergeCell ref="BV12:BZ12"/>
    <mergeCell ref="AE10:AE12"/>
    <mergeCell ref="AM10:AM12"/>
    <mergeCell ref="BR10:BR11"/>
    <mergeCell ref="AJ10:AL12"/>
    <mergeCell ref="AB10:AD12"/>
    <mergeCell ref="K10:K11"/>
    <mergeCell ref="BD16:BG17"/>
    <mergeCell ref="BR14:BR15"/>
    <mergeCell ref="X14:AA16"/>
    <mergeCell ref="AJ14:AL16"/>
    <mergeCell ref="BJ14:BL15"/>
    <mergeCell ref="BJ16:BL17"/>
    <mergeCell ref="BM16:BQ16"/>
    <mergeCell ref="BA16:BC17"/>
    <mergeCell ref="BD14:BG15"/>
    <mergeCell ref="BM14:BQ15"/>
    <mergeCell ref="BV36:BZ36"/>
    <mergeCell ref="W14:W16"/>
    <mergeCell ref="AM14:AM16"/>
    <mergeCell ref="AZ16:AZ17"/>
    <mergeCell ref="W18:W20"/>
    <mergeCell ref="AE18:AE20"/>
    <mergeCell ref="AZ18:AZ19"/>
    <mergeCell ref="AZ20:AZ21"/>
    <mergeCell ref="AJ18:AQ21"/>
    <mergeCell ref="AN14:AQ16"/>
    <mergeCell ref="BB32:BG33"/>
    <mergeCell ref="BM24:BQ24"/>
    <mergeCell ref="T22:V24"/>
    <mergeCell ref="X22:AA24"/>
    <mergeCell ref="T32:AA33"/>
    <mergeCell ref="BJ30:BZ33"/>
    <mergeCell ref="AB32:AI33"/>
    <mergeCell ref="AJ22:AL24"/>
    <mergeCell ref="AR30:AY31"/>
    <mergeCell ref="AZ30:AZ31"/>
    <mergeCell ref="AM46:AM48"/>
    <mergeCell ref="AR46:AY49"/>
    <mergeCell ref="BS46:BU47"/>
    <mergeCell ref="C49:E49"/>
    <mergeCell ref="C48:E48"/>
    <mergeCell ref="F48:J48"/>
    <mergeCell ref="L48:N48"/>
    <mergeCell ref="O48:S48"/>
    <mergeCell ref="F49:J49"/>
    <mergeCell ref="L49:N49"/>
    <mergeCell ref="C46:E47"/>
    <mergeCell ref="O49:S49"/>
    <mergeCell ref="B10:B11"/>
    <mergeCell ref="B14:B15"/>
    <mergeCell ref="B18:B19"/>
    <mergeCell ref="B22:B23"/>
    <mergeCell ref="B34:B35"/>
    <mergeCell ref="B38:B39"/>
    <mergeCell ref="B42:B43"/>
    <mergeCell ref="B46:B47"/>
    <mergeCell ref="T38:V40"/>
    <mergeCell ref="L42:N43"/>
    <mergeCell ref="K46:K47"/>
    <mergeCell ref="F46:J47"/>
    <mergeCell ref="F42:J43"/>
    <mergeCell ref="F44:J44"/>
    <mergeCell ref="K38:K39"/>
    <mergeCell ref="K18:K19"/>
    <mergeCell ref="K22:K23"/>
    <mergeCell ref="K34:K35"/>
    <mergeCell ref="K42:K43"/>
    <mergeCell ref="AZ32:BA33"/>
    <mergeCell ref="AM34:AM36"/>
    <mergeCell ref="AM38:AM40"/>
    <mergeCell ref="AJ38:AL40"/>
    <mergeCell ref="AJ34:AL36"/>
    <mergeCell ref="AN34:AQ36"/>
    <mergeCell ref="AR32:AY33"/>
    <mergeCell ref="AJ32:AQ33"/>
    <mergeCell ref="AR34:AS36"/>
    <mergeCell ref="AT34:AT36"/>
    <mergeCell ref="AZ10:AZ11"/>
    <mergeCell ref="AZ22:AZ23"/>
    <mergeCell ref="AZ24:AZ25"/>
    <mergeCell ref="BI10:BI11"/>
    <mergeCell ref="BI14:BI15"/>
    <mergeCell ref="BI18:BI19"/>
    <mergeCell ref="BI22:BI23"/>
    <mergeCell ref="BD24:BG25"/>
    <mergeCell ref="BD10:BG11"/>
    <mergeCell ref="BD12:BG13"/>
    <mergeCell ref="CT34:CT36"/>
    <mergeCell ref="CU22:CX24"/>
    <mergeCell ref="CQ32:CX33"/>
    <mergeCell ref="BM40:BQ40"/>
    <mergeCell ref="BM34:BQ35"/>
    <mergeCell ref="BS36:BU37"/>
    <mergeCell ref="BS34:BU35"/>
    <mergeCell ref="BM38:BQ39"/>
    <mergeCell ref="BM36:BQ36"/>
    <mergeCell ref="BV34:BZ35"/>
    <mergeCell ref="CY32:DF33"/>
    <mergeCell ref="CI30:CP31"/>
    <mergeCell ref="CQ30:CX31"/>
    <mergeCell ref="CT22:CT24"/>
    <mergeCell ref="CI32:CP33"/>
    <mergeCell ref="DG38:DG39"/>
    <mergeCell ref="DG40:DG41"/>
    <mergeCell ref="CD38:CD40"/>
    <mergeCell ref="CA38:CC40"/>
    <mergeCell ref="CE38:CH40"/>
    <mergeCell ref="CD42:CD44"/>
    <mergeCell ref="BS40:BU41"/>
    <mergeCell ref="BS44:BU45"/>
    <mergeCell ref="CE42:CH44"/>
    <mergeCell ref="BV44:BZ44"/>
    <mergeCell ref="CA42:CC44"/>
    <mergeCell ref="BS42:BU43"/>
    <mergeCell ref="BV42:BZ43"/>
    <mergeCell ref="BV40:BZ40"/>
    <mergeCell ref="CD14:CD16"/>
    <mergeCell ref="CI38:CP41"/>
    <mergeCell ref="AZ40:AZ41"/>
    <mergeCell ref="BA12:BC13"/>
    <mergeCell ref="CA34:CH37"/>
    <mergeCell ref="BS38:BU39"/>
    <mergeCell ref="BV38:BZ39"/>
    <mergeCell ref="CI22:CK24"/>
    <mergeCell ref="CA30:CH31"/>
    <mergeCell ref="CA32:CH33"/>
    <mergeCell ref="CM10:CP12"/>
    <mergeCell ref="CL10:CL12"/>
    <mergeCell ref="CL18:CL20"/>
    <mergeCell ref="CL22:CL24"/>
    <mergeCell ref="CM18:CP20"/>
    <mergeCell ref="AJ6:AQ7"/>
    <mergeCell ref="AR6:AY7"/>
    <mergeCell ref="BB6:BG7"/>
    <mergeCell ref="BJ6:BZ9"/>
    <mergeCell ref="AZ6:AZ7"/>
    <mergeCell ref="AZ8:BA9"/>
    <mergeCell ref="BB8:BG9"/>
    <mergeCell ref="AJ8:AQ9"/>
    <mergeCell ref="AR8:AY9"/>
    <mergeCell ref="CA6:CH7"/>
    <mergeCell ref="CQ8:CX9"/>
    <mergeCell ref="CI6:CP7"/>
    <mergeCell ref="CQ6:CX7"/>
    <mergeCell ref="CY6:DF7"/>
    <mergeCell ref="CI8:CP9"/>
    <mergeCell ref="CY8:DF9"/>
    <mergeCell ref="O54:Y57"/>
    <mergeCell ref="AZ12:AZ13"/>
    <mergeCell ref="AZ14:AZ15"/>
    <mergeCell ref="BA10:BC11"/>
    <mergeCell ref="BA18:BC19"/>
    <mergeCell ref="BA14:BC15"/>
    <mergeCell ref="AZ38:AZ39"/>
    <mergeCell ref="BA20:BC21"/>
    <mergeCell ref="O62:Y65"/>
    <mergeCell ref="O58:Y61"/>
    <mergeCell ref="Z58:AI61"/>
    <mergeCell ref="AV51:BG53"/>
    <mergeCell ref="AN22:AQ24"/>
    <mergeCell ref="BA22:BC23"/>
    <mergeCell ref="AJ30:AQ31"/>
    <mergeCell ref="AR22:AY25"/>
    <mergeCell ref="BD44:BG45"/>
    <mergeCell ref="BR42:BR43"/>
    <mergeCell ref="AZ34:AZ35"/>
    <mergeCell ref="BI46:BI47"/>
    <mergeCell ref="AZ46:AZ47"/>
    <mergeCell ref="AZ42:AZ43"/>
    <mergeCell ref="AZ44:AZ45"/>
    <mergeCell ref="AN38:AQ40"/>
    <mergeCell ref="O66:Y69"/>
    <mergeCell ref="Z66:AI69"/>
    <mergeCell ref="Z54:AI57"/>
    <mergeCell ref="AF42:AI44"/>
    <mergeCell ref="AJ42:AQ45"/>
    <mergeCell ref="X38:AA40"/>
    <mergeCell ref="W38:W40"/>
    <mergeCell ref="AB42:AD44"/>
    <mergeCell ref="AE42:AE44"/>
    <mergeCell ref="AQ58:AT59"/>
    <mergeCell ref="AS61:AT62"/>
    <mergeCell ref="BA58:BD59"/>
    <mergeCell ref="BA46:BC47"/>
    <mergeCell ref="BD48:BG49"/>
    <mergeCell ref="BA48:BC49"/>
    <mergeCell ref="BD46:BG47"/>
    <mergeCell ref="AZ48:AZ49"/>
    <mergeCell ref="AQ66:AU67"/>
    <mergeCell ref="BA66:BD67"/>
    <mergeCell ref="BE65:BG66"/>
    <mergeCell ref="BA61:BB62"/>
    <mergeCell ref="AZ36:AZ37"/>
    <mergeCell ref="BA38:BC39"/>
    <mergeCell ref="BJ46:BL47"/>
    <mergeCell ref="BI42:BI43"/>
    <mergeCell ref="BA44:BC45"/>
    <mergeCell ref="BA42:BC43"/>
    <mergeCell ref="BJ44:BL45"/>
    <mergeCell ref="BJ40:BL41"/>
    <mergeCell ref="BI34:BI35"/>
    <mergeCell ref="BM48:BQ48"/>
    <mergeCell ref="BV48:BZ48"/>
    <mergeCell ref="BJ42:BL43"/>
    <mergeCell ref="BR46:BR47"/>
    <mergeCell ref="BM42:BQ43"/>
    <mergeCell ref="BM46:BQ47"/>
    <mergeCell ref="BM44:BQ44"/>
    <mergeCell ref="BR34:BR35"/>
    <mergeCell ref="BR38:BR39"/>
    <mergeCell ref="AM22:AM24"/>
    <mergeCell ref="BB30:BG31"/>
    <mergeCell ref="BD22:BG23"/>
    <mergeCell ref="BY62:CH65"/>
    <mergeCell ref="BY58:CH61"/>
    <mergeCell ref="BJ48:BL49"/>
    <mergeCell ref="BS48:BU49"/>
    <mergeCell ref="BV24:BZ24"/>
    <mergeCell ref="BS24:BU25"/>
    <mergeCell ref="BA24:BC25"/>
    <mergeCell ref="BY80:CB82"/>
    <mergeCell ref="BK70:CA74"/>
    <mergeCell ref="BY66:CH69"/>
    <mergeCell ref="CC79:CG81"/>
    <mergeCell ref="BD40:BG41"/>
    <mergeCell ref="BJ22:BL23"/>
    <mergeCell ref="BM22:BQ23"/>
    <mergeCell ref="BY54:CH57"/>
    <mergeCell ref="BE57:BJ58"/>
    <mergeCell ref="BJ34:BL35"/>
    <mergeCell ref="BJ38:BL39"/>
    <mergeCell ref="BI38:BI39"/>
    <mergeCell ref="BD38:BG39"/>
    <mergeCell ref="BJ36:BL37"/>
    <mergeCell ref="C14:E15"/>
    <mergeCell ref="F14:J15"/>
    <mergeCell ref="L14:N15"/>
    <mergeCell ref="Z62:AI65"/>
    <mergeCell ref="X42:AA44"/>
    <mergeCell ref="AB38:AI41"/>
    <mergeCell ref="O44:S44"/>
    <mergeCell ref="T42:V44"/>
    <mergeCell ref="W42:W44"/>
    <mergeCell ref="K14:K15"/>
    <mergeCell ref="AN46:AQ48"/>
    <mergeCell ref="BA40:BC41"/>
    <mergeCell ref="BD34:BG35"/>
    <mergeCell ref="BD36:BG37"/>
    <mergeCell ref="BA34:BC35"/>
    <mergeCell ref="BA36:BC37"/>
    <mergeCell ref="AR38:AS40"/>
    <mergeCell ref="AT38:AT40"/>
    <mergeCell ref="AU38:AY40"/>
    <mergeCell ref="BD42:BG43"/>
    <mergeCell ref="T34:AA37"/>
    <mergeCell ref="AB30:AI31"/>
    <mergeCell ref="C22:E23"/>
    <mergeCell ref="F22:J23"/>
    <mergeCell ref="F24:J24"/>
    <mergeCell ref="F25:J25"/>
    <mergeCell ref="C24:E24"/>
    <mergeCell ref="AF34:AI36"/>
    <mergeCell ref="O42:S43"/>
    <mergeCell ref="O38:S39"/>
    <mergeCell ref="AE22:AE24"/>
    <mergeCell ref="AE34:AE36"/>
    <mergeCell ref="W22:W24"/>
    <mergeCell ref="O34:S35"/>
    <mergeCell ref="O40:S40"/>
    <mergeCell ref="AB34:AD36"/>
    <mergeCell ref="O24:S24"/>
    <mergeCell ref="C30:S33"/>
    <mergeCell ref="L44:N45"/>
    <mergeCell ref="C40:E41"/>
    <mergeCell ref="L40:N41"/>
    <mergeCell ref="F40:J40"/>
    <mergeCell ref="C44:E45"/>
    <mergeCell ref="C42:E43"/>
    <mergeCell ref="C38:E39"/>
    <mergeCell ref="F38:J39"/>
    <mergeCell ref="C36:E37"/>
    <mergeCell ref="L38:N39"/>
    <mergeCell ref="F10:J11"/>
    <mergeCell ref="C10:E11"/>
    <mergeCell ref="L36:N37"/>
    <mergeCell ref="O22:S23"/>
    <mergeCell ref="L34:N35"/>
    <mergeCell ref="C34:E35"/>
    <mergeCell ref="F34:J35"/>
    <mergeCell ref="F36:J36"/>
    <mergeCell ref="O36:S36"/>
    <mergeCell ref="C25:E25"/>
    <mergeCell ref="C12:E13"/>
    <mergeCell ref="T6:AA7"/>
    <mergeCell ref="T8:AA9"/>
    <mergeCell ref="F18:J19"/>
    <mergeCell ref="X18:AA20"/>
    <mergeCell ref="L12:N13"/>
    <mergeCell ref="C6:S9"/>
    <mergeCell ref="T10:AA13"/>
    <mergeCell ref="O20:S20"/>
    <mergeCell ref="O16:S16"/>
    <mergeCell ref="AB6:AI7"/>
    <mergeCell ref="T18:V20"/>
    <mergeCell ref="T30:AA31"/>
    <mergeCell ref="AB8:AI9"/>
    <mergeCell ref="AF18:AI20"/>
    <mergeCell ref="AF22:AI24"/>
    <mergeCell ref="AB14:AI17"/>
    <mergeCell ref="AB22:AD24"/>
    <mergeCell ref="AB18:AD20"/>
    <mergeCell ref="L16:N17"/>
    <mergeCell ref="L10:N11"/>
    <mergeCell ref="O10:S11"/>
    <mergeCell ref="L25:N25"/>
    <mergeCell ref="O25:S25"/>
    <mergeCell ref="O14:S15"/>
    <mergeCell ref="O18:S19"/>
    <mergeCell ref="L24:N24"/>
    <mergeCell ref="L22:N23"/>
    <mergeCell ref="AN10:AQ12"/>
    <mergeCell ref="AF10:AI12"/>
    <mergeCell ref="T14:V16"/>
    <mergeCell ref="C20:E21"/>
    <mergeCell ref="L18:N19"/>
    <mergeCell ref="L20:N21"/>
    <mergeCell ref="C16:E17"/>
    <mergeCell ref="F20:J20"/>
    <mergeCell ref="F16:J16"/>
    <mergeCell ref="C18:E19"/>
    <mergeCell ref="L46:N47"/>
    <mergeCell ref="O46:S47"/>
    <mergeCell ref="T46:V48"/>
    <mergeCell ref="X46:AA48"/>
    <mergeCell ref="W46:W48"/>
    <mergeCell ref="AB46:AD48"/>
    <mergeCell ref="AJ46:AL48"/>
    <mergeCell ref="AE46:AE48"/>
    <mergeCell ref="AF46:AI48"/>
    <mergeCell ref="BS20:BU21"/>
    <mergeCell ref="CE22:CH24"/>
    <mergeCell ref="CD18:CD20"/>
    <mergeCell ref="CD22:CD24"/>
    <mergeCell ref="BS22:BU23"/>
    <mergeCell ref="BV20:BZ20"/>
    <mergeCell ref="CA18:CC20"/>
    <mergeCell ref="BV22:BZ23"/>
    <mergeCell ref="CA22:CC24"/>
    <mergeCell ref="BD20:BG21"/>
    <mergeCell ref="BR22:BR23"/>
    <mergeCell ref="BM20:BQ20"/>
    <mergeCell ref="BJ24:BL25"/>
    <mergeCell ref="BJ20:BL21"/>
    <mergeCell ref="BR18:BR19"/>
    <mergeCell ref="BM18:BQ19"/>
    <mergeCell ref="BJ18:BL19"/>
    <mergeCell ref="BD18:BG19"/>
    <mergeCell ref="CI10:CK12"/>
    <mergeCell ref="BS14:BU15"/>
    <mergeCell ref="BV14:BZ15"/>
    <mergeCell ref="CA14:CC16"/>
    <mergeCell ref="BS16:BU17"/>
    <mergeCell ref="BV16:BZ16"/>
    <mergeCell ref="CI14:CP17"/>
    <mergeCell ref="CE14:CH16"/>
    <mergeCell ref="CA10:CH13"/>
    <mergeCell ref="BV10:BZ11"/>
    <mergeCell ref="CU14:CX16"/>
    <mergeCell ref="CQ14:CS16"/>
    <mergeCell ref="CQ10:CS12"/>
    <mergeCell ref="CT14:CT16"/>
    <mergeCell ref="BJ10:BL11"/>
    <mergeCell ref="DG6:DG7"/>
    <mergeCell ref="DG10:DG11"/>
    <mergeCell ref="CT10:CT12"/>
    <mergeCell ref="BJ12:BL13"/>
    <mergeCell ref="BS12:BU13"/>
    <mergeCell ref="BM10:BQ11"/>
    <mergeCell ref="BS10:BU11"/>
    <mergeCell ref="CA8:CH9"/>
    <mergeCell ref="CU10:CX12"/>
    <mergeCell ref="DI6:DN7"/>
    <mergeCell ref="DH10:DJ11"/>
    <mergeCell ref="DK10:DN11"/>
    <mergeCell ref="DG12:DG13"/>
    <mergeCell ref="DG8:DH9"/>
    <mergeCell ref="DI8:DN9"/>
    <mergeCell ref="DH12:DJ13"/>
    <mergeCell ref="DK12:DN13"/>
    <mergeCell ref="DG16:DG17"/>
    <mergeCell ref="DH14:DJ15"/>
    <mergeCell ref="DK14:DN15"/>
    <mergeCell ref="DG14:DG15"/>
    <mergeCell ref="DK16:DN17"/>
    <mergeCell ref="DH16:DJ17"/>
    <mergeCell ref="DK20:DN21"/>
    <mergeCell ref="CQ18:CX21"/>
    <mergeCell ref="DH20:DJ21"/>
    <mergeCell ref="DG20:DG21"/>
    <mergeCell ref="DK18:DN19"/>
    <mergeCell ref="DH18:DJ19"/>
    <mergeCell ref="DG18:DG19"/>
    <mergeCell ref="CY18:DA20"/>
    <mergeCell ref="DB18:DB20"/>
    <mergeCell ref="DI30:DN31"/>
    <mergeCell ref="DK24:DN25"/>
    <mergeCell ref="DH22:DJ23"/>
    <mergeCell ref="DK22:DN23"/>
    <mergeCell ref="DH24:DJ25"/>
    <mergeCell ref="DG24:DG25"/>
    <mergeCell ref="DG30:DG31"/>
    <mergeCell ref="DG22:DG23"/>
    <mergeCell ref="CM22:CP24"/>
    <mergeCell ref="CQ22:CS24"/>
    <mergeCell ref="CY22:DF25"/>
    <mergeCell ref="CY30:DF31"/>
    <mergeCell ref="DH42:DJ43"/>
    <mergeCell ref="DI32:DN33"/>
    <mergeCell ref="DG32:DH33"/>
    <mergeCell ref="CI34:CK36"/>
    <mergeCell ref="DH36:DJ37"/>
    <mergeCell ref="CL34:CL36"/>
    <mergeCell ref="DH34:DJ35"/>
    <mergeCell ref="CM34:CP36"/>
    <mergeCell ref="CQ34:CS36"/>
    <mergeCell ref="DG34:DG35"/>
    <mergeCell ref="DK40:DN41"/>
    <mergeCell ref="DK34:DN35"/>
    <mergeCell ref="DK36:DN37"/>
    <mergeCell ref="DH38:DJ39"/>
    <mergeCell ref="DK38:DN39"/>
    <mergeCell ref="DH40:DJ41"/>
    <mergeCell ref="CI42:CK44"/>
    <mergeCell ref="DG36:DG37"/>
    <mergeCell ref="CU38:CX40"/>
    <mergeCell ref="CU34:CX36"/>
    <mergeCell ref="DG44:DG45"/>
    <mergeCell ref="CL42:CL44"/>
    <mergeCell ref="CQ38:CS40"/>
    <mergeCell ref="CT38:CT40"/>
    <mergeCell ref="CY42:CZ44"/>
    <mergeCell ref="CM42:CP44"/>
    <mergeCell ref="DK44:DN45"/>
    <mergeCell ref="DK42:DN43"/>
    <mergeCell ref="CU46:CX48"/>
    <mergeCell ref="DG46:DG47"/>
    <mergeCell ref="DH48:DJ49"/>
    <mergeCell ref="DK48:DN49"/>
    <mergeCell ref="DH46:DJ47"/>
    <mergeCell ref="DK46:DN47"/>
    <mergeCell ref="DH44:DJ45"/>
    <mergeCell ref="CQ42:CX45"/>
    <mergeCell ref="DA42:DA44"/>
    <mergeCell ref="DB42:DF44"/>
    <mergeCell ref="DG48:DG49"/>
    <mergeCell ref="CY46:DF49"/>
    <mergeCell ref="DG42:DG43"/>
    <mergeCell ref="DB34:DF36"/>
    <mergeCell ref="CY38:CZ40"/>
    <mergeCell ref="DA38:DA40"/>
    <mergeCell ref="DB38:DF40"/>
    <mergeCell ref="CY34:CZ36"/>
    <mergeCell ref="DA34:DA36"/>
    <mergeCell ref="AR18:AS20"/>
    <mergeCell ref="CT46:CT48"/>
    <mergeCell ref="BV46:BZ47"/>
    <mergeCell ref="CI46:CK48"/>
    <mergeCell ref="CM46:CP48"/>
    <mergeCell ref="CQ46:CS48"/>
    <mergeCell ref="CA46:CC48"/>
    <mergeCell ref="CE46:CH48"/>
    <mergeCell ref="CD46:CD48"/>
    <mergeCell ref="CL46:CL48"/>
    <mergeCell ref="AT14:AT16"/>
    <mergeCell ref="AU14:AY16"/>
    <mergeCell ref="AU34:AY36"/>
    <mergeCell ref="AT18:AT20"/>
    <mergeCell ref="C1:CO3"/>
    <mergeCell ref="AU18:AY20"/>
    <mergeCell ref="BV18:BZ19"/>
    <mergeCell ref="BS18:BU19"/>
    <mergeCell ref="CE18:CH20"/>
    <mergeCell ref="CI18:CK20"/>
    <mergeCell ref="AR10:AS12"/>
    <mergeCell ref="AT10:AT12"/>
    <mergeCell ref="AU10:AY12"/>
    <mergeCell ref="AR14:AS16"/>
    <mergeCell ref="CY10:DA12"/>
    <mergeCell ref="DB10:DB12"/>
    <mergeCell ref="DC10:DF12"/>
    <mergeCell ref="CY14:DA16"/>
    <mergeCell ref="DB14:DB16"/>
    <mergeCell ref="DC14:DF16"/>
    <mergeCell ref="B83:DA84"/>
    <mergeCell ref="DC18:DF20"/>
    <mergeCell ref="AU62:AZ63"/>
    <mergeCell ref="BG76:BU79"/>
    <mergeCell ref="BG80:BU82"/>
    <mergeCell ref="AV54:AZ56"/>
    <mergeCell ref="AV58:AZ59"/>
    <mergeCell ref="AR42:AS44"/>
    <mergeCell ref="AT42:AT44"/>
    <mergeCell ref="AU42:AY44"/>
  </mergeCells>
  <conditionalFormatting sqref="AU26:BH26 S26 K26 DB26:DN26 BZ26 BR26">
    <cfRule type="expression" priority="1" dxfId="0" stopIfTrue="1">
      <formula>"2位"</formula>
    </cfRule>
    <cfRule type="expression" priority="2" dxfId="1" stopIfTrue="1">
      <formula>"1位"</formula>
    </cfRule>
  </conditionalFormatting>
  <conditionalFormatting sqref="C16 C40 C22 C46 C12 C36 C20 C44">
    <cfRule type="expression" priority="3" dxfId="2" stopIfTrue="1">
      <formula>$BE$14=2</formula>
    </cfRule>
    <cfRule type="expression" priority="4" dxfId="3" stopIfTrue="1">
      <formula>$BE$14=1</formula>
    </cfRule>
  </conditionalFormatting>
  <conditionalFormatting sqref="F12 L12 O12 F16 L16 O16 F20 L20 O20 L24 F36 L36 O36 F40 L40 O40 F44 L44 O44 L48">
    <cfRule type="expression" priority="5" dxfId="2" stopIfTrue="1">
      <formula>$AV$14=2</formula>
    </cfRule>
    <cfRule type="expression" priority="6" dxfId="3" stopIfTrue="1">
      <formula>$AV$14=1</formula>
    </cfRule>
  </conditionalFormatting>
  <printOptions/>
  <pageMargins left="0" right="0" top="0" bottom="0" header="0.3145833333333333" footer="0.314583333333333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W205"/>
  <sheetViews>
    <sheetView zoomScaleSheetLayoutView="100" workbookViewId="0" topLeftCell="A6">
      <selection activeCell="BS34" sqref="BS34"/>
    </sheetView>
  </sheetViews>
  <sheetFormatPr defaultColWidth="1.25" defaultRowHeight="7.5" customHeight="1"/>
  <cols>
    <col min="1" max="1" width="1.25" style="3" customWidth="1"/>
    <col min="2" max="2" width="0.5" style="3" hidden="1" customWidth="1"/>
    <col min="3" max="4" width="1.25" style="3" hidden="1" customWidth="1"/>
    <col min="5" max="5" width="3.25390625" style="3" hidden="1" customWidth="1"/>
    <col min="6" max="8" width="1.25" style="3" customWidth="1"/>
    <col min="9" max="9" width="2.125" style="3" customWidth="1"/>
    <col min="10" max="10" width="0.2421875" style="3" customWidth="1"/>
    <col min="11" max="11" width="0.6171875" style="3" customWidth="1"/>
    <col min="12" max="13" width="1.25" style="3" hidden="1" customWidth="1"/>
    <col min="14" max="14" width="3.625" style="3" hidden="1" customWidth="1"/>
    <col min="15" max="17" width="1.25" style="3" customWidth="1"/>
    <col min="18" max="18" width="0.5" style="3" customWidth="1"/>
    <col min="19" max="19" width="1.4921875" style="3" customWidth="1"/>
    <col min="20" max="25" width="1.25" style="3" customWidth="1"/>
    <col min="26" max="26" width="0.74609375" style="3" customWidth="1"/>
    <col min="27" max="27" width="0.6171875" style="3" customWidth="1"/>
    <col min="28" max="33" width="1.25" style="3" customWidth="1"/>
    <col min="34" max="34" width="0.2421875" style="3" customWidth="1"/>
    <col min="35" max="35" width="1.37890625" style="3" customWidth="1"/>
    <col min="36" max="41" width="1.25" style="3" customWidth="1"/>
    <col min="42" max="42" width="0.6171875" style="3" customWidth="1"/>
    <col min="43" max="43" width="0.74609375" style="3" customWidth="1"/>
    <col min="44" max="44" width="3.50390625" style="3" customWidth="1"/>
    <col min="45" max="50" width="1.625" style="3" customWidth="1"/>
    <col min="51" max="52" width="0.37109375" style="3" customWidth="1"/>
    <col min="53" max="53" width="2.50390625" style="3" hidden="1" customWidth="1"/>
    <col min="54" max="55" width="1.25" style="3" hidden="1" customWidth="1"/>
    <col min="56" max="56" width="2.75390625" style="3" hidden="1" customWidth="1"/>
    <col min="57" max="61" width="1.25" style="3" customWidth="1"/>
    <col min="62" max="62" width="1.00390625" style="3" customWidth="1"/>
    <col min="63" max="64" width="1.25" style="3" hidden="1" customWidth="1"/>
    <col min="65" max="65" width="2.625" style="3" hidden="1" customWidth="1"/>
    <col min="66" max="68" width="1.25" style="3" customWidth="1"/>
    <col min="69" max="69" width="0.5" style="3" customWidth="1"/>
    <col min="70" max="70" width="1.4921875" style="3" customWidth="1"/>
    <col min="71" max="76" width="1.25" style="3" customWidth="1"/>
    <col min="77" max="77" width="0.6171875" style="3" customWidth="1"/>
    <col min="78" max="78" width="0.74609375" style="3" customWidth="1"/>
    <col min="79" max="84" width="1.25" style="3" customWidth="1"/>
    <col min="85" max="85" width="0.74609375" style="3" customWidth="1"/>
    <col min="86" max="86" width="0.875" style="3" customWidth="1"/>
    <col min="87" max="92" width="1.25" style="3" customWidth="1"/>
    <col min="93" max="93" width="0.6171875" style="3" customWidth="1"/>
    <col min="94" max="94" width="0.5" style="3" customWidth="1"/>
    <col min="95" max="95" width="3.50390625" style="3" customWidth="1"/>
    <col min="96" max="96" width="0.12890625" style="3" customWidth="1"/>
    <col min="97" max="98" width="0.2421875" style="3" customWidth="1"/>
    <col min="99" max="100" width="1.12109375" style="3" customWidth="1"/>
    <col min="101" max="101" width="0.5" style="3" customWidth="1"/>
    <col min="102" max="102" width="1.25" style="3" customWidth="1"/>
    <col min="103" max="103" width="4.625" style="3" customWidth="1"/>
    <col min="104" max="104" width="1.75390625" style="3" customWidth="1"/>
    <col min="105" max="16384" width="1.25" style="3" customWidth="1"/>
  </cols>
  <sheetData>
    <row r="1" spans="3:110" ht="7.5" customHeight="1">
      <c r="C1" s="622" t="s">
        <v>1729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622"/>
      <c r="BD1" s="622"/>
      <c r="BE1" s="622"/>
      <c r="BF1" s="622"/>
      <c r="BG1" s="622"/>
      <c r="BH1" s="622"/>
      <c r="BI1" s="622"/>
      <c r="BJ1" s="622"/>
      <c r="BK1" s="622"/>
      <c r="BL1" s="622"/>
      <c r="BM1" s="622"/>
      <c r="BN1" s="622"/>
      <c r="BO1" s="622"/>
      <c r="BP1" s="622"/>
      <c r="BQ1" s="622"/>
      <c r="BR1" s="622"/>
      <c r="BS1" s="622"/>
      <c r="BT1" s="622"/>
      <c r="BU1" s="622"/>
      <c r="BV1" s="622"/>
      <c r="BW1" s="622"/>
      <c r="BX1" s="622"/>
      <c r="BY1" s="622"/>
      <c r="BZ1" s="622"/>
      <c r="CA1" s="622"/>
      <c r="CB1" s="622"/>
      <c r="CC1" s="622"/>
      <c r="CD1" s="622"/>
      <c r="CE1" s="622"/>
      <c r="CF1" s="622"/>
      <c r="CG1" s="622"/>
      <c r="CH1" s="622"/>
      <c r="CI1" s="622"/>
      <c r="CJ1" s="622"/>
      <c r="CK1" s="622"/>
      <c r="CL1" s="622"/>
      <c r="CM1" s="622"/>
      <c r="CN1" s="622"/>
      <c r="CO1" s="622"/>
      <c r="CP1" s="426" t="s">
        <v>1824</v>
      </c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</row>
    <row r="2" spans="3:110" ht="7.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/>
      <c r="BY2" s="622"/>
      <c r="BZ2" s="622"/>
      <c r="CA2" s="622"/>
      <c r="CB2" s="622"/>
      <c r="CC2" s="622"/>
      <c r="CD2" s="622"/>
      <c r="CE2" s="622"/>
      <c r="CF2" s="622"/>
      <c r="CG2" s="622"/>
      <c r="CH2" s="622"/>
      <c r="CI2" s="622"/>
      <c r="CJ2" s="622"/>
      <c r="CK2" s="622"/>
      <c r="CL2" s="622"/>
      <c r="CM2" s="622"/>
      <c r="CN2" s="622"/>
      <c r="CO2" s="622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</row>
    <row r="3" spans="3:110" ht="7.5" customHeight="1"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22"/>
      <c r="BN3" s="622"/>
      <c r="BO3" s="622"/>
      <c r="BP3" s="622"/>
      <c r="BQ3" s="622"/>
      <c r="BR3" s="622"/>
      <c r="BS3" s="622"/>
      <c r="BT3" s="622"/>
      <c r="BU3" s="622"/>
      <c r="BV3" s="622"/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622"/>
      <c r="CI3" s="622"/>
      <c r="CJ3" s="622"/>
      <c r="CK3" s="622"/>
      <c r="CL3" s="622"/>
      <c r="CM3" s="622"/>
      <c r="CN3" s="622"/>
      <c r="CO3" s="622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</row>
    <row r="4" spans="3:110" ht="9" customHeight="1">
      <c r="C4" s="426" t="s">
        <v>843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2"/>
      <c r="AZ4" s="2"/>
      <c r="BB4" s="426" t="s">
        <v>8</v>
      </c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</row>
    <row r="5" spans="3:110" ht="9" customHeight="1" thickBot="1"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2"/>
      <c r="AZ5" s="2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</row>
    <row r="6" spans="1:110" ht="9" customHeight="1">
      <c r="A6" s="16"/>
      <c r="C6" s="517" t="s">
        <v>833</v>
      </c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68"/>
      <c r="T6" s="517" t="str">
        <f>F10</f>
        <v>中山</v>
      </c>
      <c r="U6" s="518"/>
      <c r="V6" s="518"/>
      <c r="W6" s="518"/>
      <c r="X6" s="518"/>
      <c r="Y6" s="518"/>
      <c r="Z6" s="518"/>
      <c r="AA6" s="568"/>
      <c r="AB6" s="345" t="str">
        <f>F14</f>
        <v>津曲</v>
      </c>
      <c r="AC6" s="426"/>
      <c r="AD6" s="426"/>
      <c r="AE6" s="426"/>
      <c r="AF6" s="426"/>
      <c r="AG6" s="426"/>
      <c r="AH6" s="426"/>
      <c r="AI6" s="426"/>
      <c r="AJ6" s="517" t="str">
        <f>F18</f>
        <v>平居</v>
      </c>
      <c r="AK6" s="518"/>
      <c r="AL6" s="518"/>
      <c r="AM6" s="518"/>
      <c r="AN6" s="518"/>
      <c r="AO6" s="518"/>
      <c r="AP6" s="518"/>
      <c r="AQ6" s="519"/>
      <c r="AR6" s="513">
        <f>IF(AR12&lt;&gt;"","取得","")</f>
      </c>
      <c r="AS6" s="55"/>
      <c r="AT6" s="518" t="s">
        <v>834</v>
      </c>
      <c r="AU6" s="518"/>
      <c r="AV6" s="518"/>
      <c r="AW6" s="518"/>
      <c r="AX6" s="518"/>
      <c r="AY6" s="521"/>
      <c r="AZ6" s="74"/>
      <c r="BA6" s="5"/>
      <c r="BB6" s="562" t="s">
        <v>857</v>
      </c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7"/>
      <c r="BS6" s="517" t="str">
        <f>BE10</f>
        <v>岡本</v>
      </c>
      <c r="BT6" s="518"/>
      <c r="BU6" s="518"/>
      <c r="BV6" s="518"/>
      <c r="BW6" s="518"/>
      <c r="BX6" s="518"/>
      <c r="BY6" s="518"/>
      <c r="BZ6" s="568"/>
      <c r="CA6" s="345" t="str">
        <f>BE14</f>
        <v>山脇</v>
      </c>
      <c r="CB6" s="426"/>
      <c r="CC6" s="426"/>
      <c r="CD6" s="426"/>
      <c r="CE6" s="426"/>
      <c r="CF6" s="426"/>
      <c r="CG6" s="426"/>
      <c r="CH6" s="426"/>
      <c r="CI6" s="517" t="str">
        <f>BE18</f>
        <v>東山</v>
      </c>
      <c r="CJ6" s="518"/>
      <c r="CK6" s="518"/>
      <c r="CL6" s="518"/>
      <c r="CM6" s="518"/>
      <c r="CN6" s="518"/>
      <c r="CO6" s="518"/>
      <c r="CP6" s="568"/>
      <c r="CQ6" s="517" t="str">
        <f>BE22</f>
        <v>杉原</v>
      </c>
      <c r="CR6" s="518"/>
      <c r="CS6" s="518"/>
      <c r="CT6" s="518"/>
      <c r="CU6" s="518"/>
      <c r="CV6" s="518"/>
      <c r="CW6" s="518"/>
      <c r="CX6" s="519"/>
      <c r="CY6" s="513">
        <f>IF(CY12&lt;&gt;"","取得","")</f>
      </c>
      <c r="CZ6" s="55"/>
      <c r="DA6" s="518" t="s">
        <v>834</v>
      </c>
      <c r="DB6" s="518"/>
      <c r="DC6" s="518"/>
      <c r="DD6" s="518"/>
      <c r="DE6" s="518"/>
      <c r="DF6" s="521"/>
    </row>
    <row r="7" spans="1:110" ht="9" customHeight="1">
      <c r="A7" s="16"/>
      <c r="C7" s="345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7"/>
      <c r="T7" s="345"/>
      <c r="U7" s="426"/>
      <c r="V7" s="426"/>
      <c r="W7" s="426"/>
      <c r="X7" s="426"/>
      <c r="Y7" s="426"/>
      <c r="Z7" s="426"/>
      <c r="AA7" s="427"/>
      <c r="AB7" s="345"/>
      <c r="AC7" s="426"/>
      <c r="AD7" s="426"/>
      <c r="AE7" s="426"/>
      <c r="AF7" s="426"/>
      <c r="AG7" s="426"/>
      <c r="AH7" s="426"/>
      <c r="AI7" s="426"/>
      <c r="AJ7" s="345"/>
      <c r="AK7" s="426"/>
      <c r="AL7" s="426"/>
      <c r="AM7" s="426"/>
      <c r="AN7" s="426"/>
      <c r="AO7" s="426"/>
      <c r="AP7" s="426"/>
      <c r="AQ7" s="520"/>
      <c r="AR7" s="502"/>
      <c r="AT7" s="426"/>
      <c r="AU7" s="426"/>
      <c r="AV7" s="426"/>
      <c r="AW7" s="426"/>
      <c r="AX7" s="426"/>
      <c r="AY7" s="500"/>
      <c r="AZ7" s="74"/>
      <c r="BA7" s="5"/>
      <c r="BB7" s="562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7"/>
      <c r="BS7" s="345"/>
      <c r="BT7" s="426"/>
      <c r="BU7" s="426"/>
      <c r="BV7" s="426"/>
      <c r="BW7" s="426"/>
      <c r="BX7" s="426"/>
      <c r="BY7" s="426"/>
      <c r="BZ7" s="427"/>
      <c r="CA7" s="345"/>
      <c r="CB7" s="426"/>
      <c r="CC7" s="426"/>
      <c r="CD7" s="426"/>
      <c r="CE7" s="426"/>
      <c r="CF7" s="426"/>
      <c r="CG7" s="426"/>
      <c r="CH7" s="426"/>
      <c r="CI7" s="345"/>
      <c r="CJ7" s="426"/>
      <c r="CK7" s="426"/>
      <c r="CL7" s="426"/>
      <c r="CM7" s="426"/>
      <c r="CN7" s="426"/>
      <c r="CO7" s="426"/>
      <c r="CP7" s="427"/>
      <c r="CQ7" s="345"/>
      <c r="CR7" s="426"/>
      <c r="CS7" s="426"/>
      <c r="CT7" s="426"/>
      <c r="CU7" s="426"/>
      <c r="CV7" s="426"/>
      <c r="CW7" s="426"/>
      <c r="CX7" s="520"/>
      <c r="CY7" s="502"/>
      <c r="DA7" s="426"/>
      <c r="DB7" s="426"/>
      <c r="DC7" s="426"/>
      <c r="DD7" s="426"/>
      <c r="DE7" s="426"/>
      <c r="DF7" s="500"/>
    </row>
    <row r="8" spans="1:110" ht="9" customHeight="1">
      <c r="A8" s="16"/>
      <c r="C8" s="345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7"/>
      <c r="T8" s="345" t="str">
        <f>O10</f>
        <v>田中</v>
      </c>
      <c r="U8" s="426"/>
      <c r="V8" s="426"/>
      <c r="W8" s="426"/>
      <c r="X8" s="426"/>
      <c r="Y8" s="426"/>
      <c r="Z8" s="426"/>
      <c r="AA8" s="427"/>
      <c r="AB8" s="345" t="str">
        <f>O14</f>
        <v>片桐</v>
      </c>
      <c r="AC8" s="426"/>
      <c r="AD8" s="426"/>
      <c r="AE8" s="426"/>
      <c r="AF8" s="426"/>
      <c r="AG8" s="426"/>
      <c r="AH8" s="426"/>
      <c r="AI8" s="426"/>
      <c r="AJ8" s="345" t="str">
        <f>O18</f>
        <v>杉山</v>
      </c>
      <c r="AK8" s="426"/>
      <c r="AL8" s="426"/>
      <c r="AM8" s="426"/>
      <c r="AN8" s="426"/>
      <c r="AO8" s="426"/>
      <c r="AP8" s="426"/>
      <c r="AQ8" s="427"/>
      <c r="AR8" s="502">
        <f>IF(AR12&lt;&gt;"","ゲーム率","")</f>
      </c>
      <c r="AS8" s="426"/>
      <c r="AT8" s="426" t="s">
        <v>835</v>
      </c>
      <c r="AU8" s="426"/>
      <c r="AV8" s="426"/>
      <c r="AW8" s="426"/>
      <c r="AX8" s="426"/>
      <c r="AY8" s="500"/>
      <c r="AZ8" s="74"/>
      <c r="BA8" s="5"/>
      <c r="BB8" s="562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7"/>
      <c r="BS8" s="345" t="str">
        <f>BN10</f>
        <v>深尾</v>
      </c>
      <c r="BT8" s="426"/>
      <c r="BU8" s="426"/>
      <c r="BV8" s="426"/>
      <c r="BW8" s="426"/>
      <c r="BX8" s="426"/>
      <c r="BY8" s="426"/>
      <c r="BZ8" s="427"/>
      <c r="CA8" s="345" t="str">
        <f>BN14</f>
        <v>山脇</v>
      </c>
      <c r="CB8" s="426"/>
      <c r="CC8" s="426"/>
      <c r="CD8" s="426"/>
      <c r="CE8" s="426"/>
      <c r="CF8" s="426"/>
      <c r="CG8" s="426"/>
      <c r="CH8" s="426"/>
      <c r="CI8" s="345" t="str">
        <f>BN18</f>
        <v>姫井</v>
      </c>
      <c r="CJ8" s="426"/>
      <c r="CK8" s="426"/>
      <c r="CL8" s="426"/>
      <c r="CM8" s="426"/>
      <c r="CN8" s="426"/>
      <c r="CO8" s="426"/>
      <c r="CP8" s="427"/>
      <c r="CQ8" s="426" t="str">
        <f>BN22</f>
        <v>木村</v>
      </c>
      <c r="CR8" s="426"/>
      <c r="CS8" s="426"/>
      <c r="CT8" s="426"/>
      <c r="CU8" s="426"/>
      <c r="CV8" s="426"/>
      <c r="CW8" s="426"/>
      <c r="CX8" s="520"/>
      <c r="CY8" s="502">
        <f>IF(CY12&lt;&gt;"","ゲーム率","")</f>
      </c>
      <c r="CZ8" s="426"/>
      <c r="DA8" s="426" t="s">
        <v>835</v>
      </c>
      <c r="DB8" s="426"/>
      <c r="DC8" s="426"/>
      <c r="DD8" s="426"/>
      <c r="DE8" s="426"/>
      <c r="DF8" s="500"/>
    </row>
    <row r="9" spans="1:110" ht="9" customHeight="1">
      <c r="A9" s="16"/>
      <c r="C9" s="537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538"/>
      <c r="T9" s="537"/>
      <c r="U9" s="499"/>
      <c r="V9" s="499"/>
      <c r="W9" s="499"/>
      <c r="X9" s="499"/>
      <c r="Y9" s="499"/>
      <c r="Z9" s="499"/>
      <c r="AA9" s="538"/>
      <c r="AB9" s="537"/>
      <c r="AC9" s="499"/>
      <c r="AD9" s="499"/>
      <c r="AE9" s="499"/>
      <c r="AF9" s="499"/>
      <c r="AG9" s="499"/>
      <c r="AH9" s="499"/>
      <c r="AI9" s="499"/>
      <c r="AJ9" s="537"/>
      <c r="AK9" s="499"/>
      <c r="AL9" s="499"/>
      <c r="AM9" s="499"/>
      <c r="AN9" s="499"/>
      <c r="AO9" s="499"/>
      <c r="AP9" s="499"/>
      <c r="AQ9" s="538"/>
      <c r="AR9" s="503"/>
      <c r="AS9" s="499"/>
      <c r="AT9" s="499"/>
      <c r="AU9" s="499"/>
      <c r="AV9" s="499"/>
      <c r="AW9" s="499"/>
      <c r="AX9" s="499"/>
      <c r="AY9" s="501"/>
      <c r="AZ9" s="74"/>
      <c r="BA9" s="5"/>
      <c r="BB9" s="600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538"/>
      <c r="BS9" s="537"/>
      <c r="BT9" s="499"/>
      <c r="BU9" s="499"/>
      <c r="BV9" s="499"/>
      <c r="BW9" s="499"/>
      <c r="BX9" s="499"/>
      <c r="BY9" s="499"/>
      <c r="BZ9" s="538"/>
      <c r="CA9" s="537"/>
      <c r="CB9" s="499"/>
      <c r="CC9" s="499"/>
      <c r="CD9" s="499"/>
      <c r="CE9" s="499"/>
      <c r="CF9" s="499"/>
      <c r="CG9" s="499"/>
      <c r="CH9" s="499"/>
      <c r="CI9" s="537"/>
      <c r="CJ9" s="499"/>
      <c r="CK9" s="499"/>
      <c r="CL9" s="499"/>
      <c r="CM9" s="499"/>
      <c r="CN9" s="499"/>
      <c r="CO9" s="499"/>
      <c r="CP9" s="538"/>
      <c r="CQ9" s="499"/>
      <c r="CR9" s="499"/>
      <c r="CS9" s="499"/>
      <c r="CT9" s="499"/>
      <c r="CU9" s="499"/>
      <c r="CV9" s="499"/>
      <c r="CW9" s="499"/>
      <c r="CX9" s="599"/>
      <c r="CY9" s="503"/>
      <c r="CZ9" s="499"/>
      <c r="DA9" s="499"/>
      <c r="DB9" s="499"/>
      <c r="DC9" s="499"/>
      <c r="DD9" s="499"/>
      <c r="DE9" s="499"/>
      <c r="DF9" s="501"/>
    </row>
    <row r="10" spans="1:110" s="2" customFormat="1" ht="9" customHeight="1">
      <c r="A10" s="74"/>
      <c r="B10" s="593">
        <f>AV12</f>
        <v>1</v>
      </c>
      <c r="C10" s="529" t="s">
        <v>1692</v>
      </c>
      <c r="D10" s="350"/>
      <c r="E10" s="350"/>
      <c r="F10" s="645" t="str">
        <f>IF(C10="ここに","",VLOOKUP(C10,'登録ナンバー'!$A$1:$C$620,2,0))</f>
        <v>中山</v>
      </c>
      <c r="G10" s="350"/>
      <c r="H10" s="350"/>
      <c r="I10" s="350"/>
      <c r="J10" s="350"/>
      <c r="K10" s="559" t="s">
        <v>837</v>
      </c>
      <c r="L10" s="350" t="s">
        <v>1710</v>
      </c>
      <c r="M10" s="350"/>
      <c r="N10" s="350"/>
      <c r="O10" s="350" t="str">
        <f>IF(L10="ここに","",VLOOKUP(L10,'登録ナンバー'!$A$1:$C$620,2,0))</f>
        <v>田中</v>
      </c>
      <c r="P10" s="350"/>
      <c r="Q10" s="350"/>
      <c r="R10" s="350"/>
      <c r="S10" s="350"/>
      <c r="T10" s="628" t="str">
        <f>IF(AB10="","丸付き数字は試合順番","")</f>
        <v>丸付き数字は試合順番</v>
      </c>
      <c r="U10" s="629"/>
      <c r="V10" s="629"/>
      <c r="W10" s="629"/>
      <c r="X10" s="629"/>
      <c r="Y10" s="629"/>
      <c r="Z10" s="629"/>
      <c r="AA10" s="630"/>
      <c r="AB10" s="436"/>
      <c r="AC10" s="351"/>
      <c r="AD10" s="351"/>
      <c r="AE10" s="351" t="s">
        <v>838</v>
      </c>
      <c r="AF10" s="351" t="s">
        <v>839</v>
      </c>
      <c r="AG10" s="351"/>
      <c r="AH10" s="351"/>
      <c r="AI10" s="625"/>
      <c r="AJ10" s="436" t="s">
        <v>840</v>
      </c>
      <c r="AK10" s="351"/>
      <c r="AL10" s="351"/>
      <c r="AM10" s="351" t="s">
        <v>838</v>
      </c>
      <c r="AN10" s="351"/>
      <c r="AO10" s="351"/>
      <c r="AP10" s="351"/>
      <c r="AQ10" s="625"/>
      <c r="AR10" s="450">
        <f>IF(COUNTIF(AS10:AU20,1)=2,"直接対決","")</f>
      </c>
      <c r="AS10" s="497">
        <f>COUNTIF(T10:AQ11,"⑥")+COUNTIF(T10:AQ11,"⑦")</f>
        <v>0</v>
      </c>
      <c r="AT10" s="497"/>
      <c r="AU10" s="497"/>
      <c r="AV10" s="456">
        <f>IF(AB10="","",2-AS10)</f>
      </c>
      <c r="AW10" s="456"/>
      <c r="AX10" s="456"/>
      <c r="AY10" s="457"/>
      <c r="AZ10" s="75"/>
      <c r="BA10" s="650">
        <f>DC12</f>
        <v>1</v>
      </c>
      <c r="BB10" s="529" t="s">
        <v>1693</v>
      </c>
      <c r="BC10" s="350"/>
      <c r="BD10" s="350"/>
      <c r="BE10" s="350" t="str">
        <f>IF(BB10="ここに","",VLOOKUP(BB10,'登録ナンバー'!$A$1:$C$620,2,0))</f>
        <v>岡本</v>
      </c>
      <c r="BF10" s="350"/>
      <c r="BG10" s="350"/>
      <c r="BH10" s="350"/>
      <c r="BI10" s="350"/>
      <c r="BJ10" s="559" t="s">
        <v>837</v>
      </c>
      <c r="BK10" s="350" t="s">
        <v>1725</v>
      </c>
      <c r="BL10" s="350"/>
      <c r="BM10" s="350"/>
      <c r="BN10" s="350" t="str">
        <f>IF(BK10="ここに","",VLOOKUP(BK10,'登録ナンバー'!$A$1:$C$620,2,0))</f>
        <v>深尾</v>
      </c>
      <c r="BO10" s="350"/>
      <c r="BP10" s="350"/>
      <c r="BQ10" s="350"/>
      <c r="BR10" s="350"/>
      <c r="BS10" s="628" t="str">
        <f>IF(CA10="","丸付き数字は試合順番","")</f>
        <v>丸付き数字は試合順番</v>
      </c>
      <c r="BT10" s="629"/>
      <c r="BU10" s="629"/>
      <c r="BV10" s="629"/>
      <c r="BW10" s="629"/>
      <c r="BX10" s="629"/>
      <c r="BY10" s="629"/>
      <c r="BZ10" s="630"/>
      <c r="CA10" s="436"/>
      <c r="CB10" s="351"/>
      <c r="CC10" s="351"/>
      <c r="CD10" s="351" t="s">
        <v>838</v>
      </c>
      <c r="CE10" s="351">
        <v>6</v>
      </c>
      <c r="CF10" s="351"/>
      <c r="CG10" s="351"/>
      <c r="CH10" s="625"/>
      <c r="CI10" s="436" t="s">
        <v>1311</v>
      </c>
      <c r="CJ10" s="351"/>
      <c r="CK10" s="351"/>
      <c r="CL10" s="351" t="s">
        <v>838</v>
      </c>
      <c r="CM10" s="424"/>
      <c r="CN10" s="424"/>
      <c r="CO10" s="424"/>
      <c r="CP10" s="425"/>
      <c r="CQ10" s="436" t="s">
        <v>1310</v>
      </c>
      <c r="CR10" s="351"/>
      <c r="CS10" s="351" t="s">
        <v>838</v>
      </c>
      <c r="CT10" s="351"/>
      <c r="CU10" s="351"/>
      <c r="CV10" s="351"/>
      <c r="CW10" s="351"/>
      <c r="CX10" s="352"/>
      <c r="CY10" s="450">
        <f>IF(COUNTIF(CZ10:DB23,1)=2,"直接対決","")</f>
      </c>
      <c r="CZ10" s="497">
        <f>COUNTIF(BS10:CX11,"⑥")+COUNTIF(BS10:CX11,"⑦")</f>
        <v>0</v>
      </c>
      <c r="DA10" s="497"/>
      <c r="DB10" s="497"/>
      <c r="DC10" s="456">
        <f>IF(CA10="","",3-CZ10)</f>
      </c>
      <c r="DD10" s="456"/>
      <c r="DE10" s="456"/>
      <c r="DF10" s="457"/>
    </row>
    <row r="11" spans="1:110" s="2" customFormat="1" ht="9" customHeight="1">
      <c r="A11" s="74"/>
      <c r="B11" s="593"/>
      <c r="C11" s="530"/>
      <c r="D11" s="342"/>
      <c r="E11" s="342"/>
      <c r="F11" s="638"/>
      <c r="G11" s="342"/>
      <c r="H11" s="342"/>
      <c r="I11" s="342"/>
      <c r="J11" s="342"/>
      <c r="K11" s="559"/>
      <c r="L11" s="342"/>
      <c r="M11" s="342"/>
      <c r="N11" s="342"/>
      <c r="O11" s="342"/>
      <c r="P11" s="342"/>
      <c r="Q11" s="342"/>
      <c r="R11" s="342"/>
      <c r="S11" s="342"/>
      <c r="T11" s="631"/>
      <c r="U11" s="632"/>
      <c r="V11" s="632"/>
      <c r="W11" s="632"/>
      <c r="X11" s="632"/>
      <c r="Y11" s="632"/>
      <c r="Z11" s="632"/>
      <c r="AA11" s="633"/>
      <c r="AB11" s="437"/>
      <c r="AC11" s="348"/>
      <c r="AD11" s="348"/>
      <c r="AE11" s="348"/>
      <c r="AF11" s="348"/>
      <c r="AG11" s="348"/>
      <c r="AH11" s="348"/>
      <c r="AI11" s="626"/>
      <c r="AJ11" s="437"/>
      <c r="AK11" s="348"/>
      <c r="AL11" s="348"/>
      <c r="AM11" s="348"/>
      <c r="AN11" s="348"/>
      <c r="AO11" s="348"/>
      <c r="AP11" s="348"/>
      <c r="AQ11" s="626"/>
      <c r="AR11" s="451"/>
      <c r="AS11" s="498"/>
      <c r="AT11" s="498"/>
      <c r="AU11" s="498"/>
      <c r="AV11" s="458"/>
      <c r="AW11" s="458"/>
      <c r="AX11" s="458"/>
      <c r="AY11" s="459"/>
      <c r="AZ11" s="75"/>
      <c r="BA11" s="650"/>
      <c r="BB11" s="530"/>
      <c r="BC11" s="342"/>
      <c r="BD11" s="342"/>
      <c r="BE11" s="342"/>
      <c r="BF11" s="342"/>
      <c r="BG11" s="342"/>
      <c r="BH11" s="342"/>
      <c r="BI11" s="342"/>
      <c r="BJ11" s="559"/>
      <c r="BK11" s="342"/>
      <c r="BL11" s="342"/>
      <c r="BM11" s="342"/>
      <c r="BN11" s="342"/>
      <c r="BO11" s="342"/>
      <c r="BP11" s="342"/>
      <c r="BQ11" s="342"/>
      <c r="BR11" s="342"/>
      <c r="BS11" s="631"/>
      <c r="BT11" s="632"/>
      <c r="BU11" s="632"/>
      <c r="BV11" s="632"/>
      <c r="BW11" s="632"/>
      <c r="BX11" s="632"/>
      <c r="BY11" s="632"/>
      <c r="BZ11" s="633"/>
      <c r="CA11" s="437"/>
      <c r="CB11" s="348"/>
      <c r="CC11" s="348"/>
      <c r="CD11" s="348"/>
      <c r="CE11" s="348"/>
      <c r="CF11" s="348"/>
      <c r="CG11" s="348"/>
      <c r="CH11" s="626"/>
      <c r="CI11" s="437"/>
      <c r="CJ11" s="348"/>
      <c r="CK11" s="348"/>
      <c r="CL11" s="348"/>
      <c r="CM11" s="426"/>
      <c r="CN11" s="426"/>
      <c r="CO11" s="426"/>
      <c r="CP11" s="427"/>
      <c r="CQ11" s="437"/>
      <c r="CR11" s="348"/>
      <c r="CS11" s="348"/>
      <c r="CT11" s="348"/>
      <c r="CU11" s="348"/>
      <c r="CV11" s="348"/>
      <c r="CW11" s="348"/>
      <c r="CX11" s="349"/>
      <c r="CY11" s="451"/>
      <c r="CZ11" s="498"/>
      <c r="DA11" s="498"/>
      <c r="DB11" s="498"/>
      <c r="DC11" s="458"/>
      <c r="DD11" s="458"/>
      <c r="DE11" s="458"/>
      <c r="DF11" s="459"/>
    </row>
    <row r="12" spans="1:110" ht="15.75" customHeight="1">
      <c r="A12" s="16"/>
      <c r="C12" s="530" t="s">
        <v>841</v>
      </c>
      <c r="D12" s="342"/>
      <c r="E12" s="342"/>
      <c r="F12" s="638" t="str">
        <f>IF(C10="ここに","",VLOOKUP(C10,'登録ナンバー'!$A$1:$D$620,4,0))</f>
        <v>グリフィンズ</v>
      </c>
      <c r="G12" s="342"/>
      <c r="H12" s="342"/>
      <c r="I12" s="342"/>
      <c r="J12" s="342"/>
      <c r="K12" s="125"/>
      <c r="L12" s="559" t="s">
        <v>841</v>
      </c>
      <c r="M12" s="559"/>
      <c r="N12" s="559"/>
      <c r="O12" s="342" t="str">
        <f>IF(L10="ここに","",VLOOKUP(L10,'登録ナンバー'!$A$1:$D$620,4,0))</f>
        <v>グリフィンズ</v>
      </c>
      <c r="P12" s="342"/>
      <c r="Q12" s="342"/>
      <c r="R12" s="342"/>
      <c r="S12" s="637"/>
      <c r="T12" s="632"/>
      <c r="U12" s="632"/>
      <c r="V12" s="632"/>
      <c r="W12" s="632"/>
      <c r="X12" s="632"/>
      <c r="Y12" s="632"/>
      <c r="Z12" s="632"/>
      <c r="AA12" s="633"/>
      <c r="AB12" s="437"/>
      <c r="AC12" s="348"/>
      <c r="AD12" s="348"/>
      <c r="AE12" s="348"/>
      <c r="AF12" s="348"/>
      <c r="AG12" s="348"/>
      <c r="AH12" s="348"/>
      <c r="AI12" s="626"/>
      <c r="AJ12" s="437"/>
      <c r="AK12" s="348"/>
      <c r="AL12" s="348"/>
      <c r="AM12" s="348"/>
      <c r="AN12" s="348"/>
      <c r="AO12" s="348"/>
      <c r="AP12" s="348"/>
      <c r="AQ12" s="626"/>
      <c r="AR12" s="487">
        <f>IF(OR(COUNTIF(AS10:AU22,2)=3,COUNTIF(AS10:AU22,1)=3),(AB13+AJ13)/(AB13+AJ13+AF10+AN10),"")</f>
      </c>
      <c r="AS12" s="474"/>
      <c r="AT12" s="474"/>
      <c r="AU12" s="474"/>
      <c r="AV12" s="452">
        <f>IF(AR12&lt;&gt;"",RANK(AR12,AR12:AR25),RANK(AS10,AS10:AU23))</f>
        <v>1</v>
      </c>
      <c r="AW12" s="452"/>
      <c r="AX12" s="452"/>
      <c r="AY12" s="453"/>
      <c r="AZ12" s="76"/>
      <c r="BA12" s="5"/>
      <c r="BB12" s="530" t="s">
        <v>841</v>
      </c>
      <c r="BC12" s="342"/>
      <c r="BD12" s="342"/>
      <c r="BE12" s="342" t="str">
        <f>IF(BB10="ここに","",VLOOKUP(BB10,'登録ナンバー'!$A$1:$D$620,4,0))</f>
        <v>Kテニス</v>
      </c>
      <c r="BF12" s="342"/>
      <c r="BG12" s="342"/>
      <c r="BH12" s="342"/>
      <c r="BI12" s="342"/>
      <c r="BJ12" s="125"/>
      <c r="BK12" s="559" t="s">
        <v>841</v>
      </c>
      <c r="BL12" s="559"/>
      <c r="BM12" s="559"/>
      <c r="BN12" s="342" t="str">
        <f>IF(BK10="ここに","",VLOOKUP(BK10,'登録ナンバー'!$A$1:$D$620,4,0))</f>
        <v>グリフィンズ</v>
      </c>
      <c r="BO12" s="342"/>
      <c r="BP12" s="342"/>
      <c r="BQ12" s="342"/>
      <c r="BR12" s="343"/>
      <c r="BS12" s="631"/>
      <c r="BT12" s="632"/>
      <c r="BU12" s="632"/>
      <c r="BV12" s="632"/>
      <c r="BW12" s="632"/>
      <c r="BX12" s="632"/>
      <c r="BY12" s="632"/>
      <c r="BZ12" s="633"/>
      <c r="CA12" s="437"/>
      <c r="CB12" s="348"/>
      <c r="CC12" s="348"/>
      <c r="CD12" s="348"/>
      <c r="CE12" s="348"/>
      <c r="CF12" s="348"/>
      <c r="CG12" s="348"/>
      <c r="CH12" s="626"/>
      <c r="CI12" s="437"/>
      <c r="CJ12" s="348"/>
      <c r="CK12" s="348"/>
      <c r="CL12" s="348"/>
      <c r="CM12" s="426"/>
      <c r="CN12" s="426"/>
      <c r="CO12" s="426"/>
      <c r="CP12" s="427"/>
      <c r="CQ12" s="437"/>
      <c r="CR12" s="348"/>
      <c r="CS12" s="348"/>
      <c r="CT12" s="348"/>
      <c r="CU12" s="348"/>
      <c r="CV12" s="348"/>
      <c r="CW12" s="348"/>
      <c r="CX12" s="349"/>
      <c r="CY12" s="487">
        <f>IF(OR(COUNTIF(CZ10:DB23,2)=3,COUNTIF(CZ10:DB23,1)=3),(CA13+CI13+CQ13)/(CA13+CI13+CE10+CM10+CV10+CQ13),"")</f>
      </c>
      <c r="CZ12" s="474"/>
      <c r="DA12" s="474"/>
      <c r="DB12" s="474"/>
      <c r="DC12" s="452">
        <f>IF(CY12&lt;&gt;"",RANK(CY12,CY12:CY25),RANK(CZ10,CZ10:DB23))</f>
        <v>1</v>
      </c>
      <c r="DD12" s="452"/>
      <c r="DE12" s="452"/>
      <c r="DF12" s="453"/>
    </row>
    <row r="13" spans="1:110" ht="5.25" customHeight="1" hidden="1">
      <c r="A13" s="16"/>
      <c r="C13" s="531"/>
      <c r="D13" s="532"/>
      <c r="E13" s="532"/>
      <c r="F13" s="292"/>
      <c r="G13" s="134"/>
      <c r="H13" s="134"/>
      <c r="I13" s="134"/>
      <c r="J13" s="134"/>
      <c r="K13" s="125"/>
      <c r="L13" s="532"/>
      <c r="M13" s="532"/>
      <c r="N13" s="532"/>
      <c r="O13" s="125"/>
      <c r="P13" s="125"/>
      <c r="Q13" s="125"/>
      <c r="R13" s="126"/>
      <c r="S13" s="294"/>
      <c r="T13" s="634"/>
      <c r="U13" s="635"/>
      <c r="V13" s="635"/>
      <c r="W13" s="635"/>
      <c r="X13" s="635"/>
      <c r="Y13" s="635"/>
      <c r="Z13" s="635"/>
      <c r="AA13" s="636"/>
      <c r="AB13" s="35">
        <f>IF(AB10="⑦","7",IF(AB10="⑥","6",AB10))</f>
        <v>0</v>
      </c>
      <c r="AC13" s="36"/>
      <c r="AD13" s="36"/>
      <c r="AE13" s="36"/>
      <c r="AF13" s="36"/>
      <c r="AG13" s="36"/>
      <c r="AH13" s="36"/>
      <c r="AI13" s="36"/>
      <c r="AJ13" s="35" t="str">
        <f>IF(AJ10="⑦","7",IF(AJ10="⑥","6",AJ10))</f>
        <v>②</v>
      </c>
      <c r="AK13" s="36"/>
      <c r="AL13" s="36"/>
      <c r="AM13" s="36"/>
      <c r="AN13" s="36"/>
      <c r="AO13" s="36"/>
      <c r="AP13" s="36"/>
      <c r="AQ13" s="37"/>
      <c r="AR13" s="488"/>
      <c r="AS13" s="475"/>
      <c r="AT13" s="475"/>
      <c r="AU13" s="475"/>
      <c r="AV13" s="454"/>
      <c r="AW13" s="454"/>
      <c r="AX13" s="454"/>
      <c r="AY13" s="455"/>
      <c r="AZ13" s="62"/>
      <c r="BB13" s="531"/>
      <c r="BC13" s="532"/>
      <c r="BD13" s="532"/>
      <c r="BE13" s="125"/>
      <c r="BF13" s="125"/>
      <c r="BG13" s="125"/>
      <c r="BH13" s="125"/>
      <c r="BI13" s="134"/>
      <c r="BJ13" s="125"/>
      <c r="BK13" s="532"/>
      <c r="BL13" s="532"/>
      <c r="BM13" s="532"/>
      <c r="BN13" s="125"/>
      <c r="BO13" s="125"/>
      <c r="BP13" s="125"/>
      <c r="BQ13" s="126"/>
      <c r="BR13" s="293"/>
      <c r="BS13" s="634"/>
      <c r="BT13" s="635"/>
      <c r="BU13" s="635"/>
      <c r="BV13" s="635"/>
      <c r="BW13" s="635"/>
      <c r="BX13" s="635"/>
      <c r="BY13" s="635"/>
      <c r="BZ13" s="636"/>
      <c r="CA13" s="35">
        <f>IF(CA10="⑦","7",IF(CA10="⑥","6",CA10))</f>
        <v>0</v>
      </c>
      <c r="CB13" s="36"/>
      <c r="CC13" s="36"/>
      <c r="CD13" s="36"/>
      <c r="CE13" s="36"/>
      <c r="CF13" s="36"/>
      <c r="CG13" s="36"/>
      <c r="CH13" s="37"/>
      <c r="CI13" s="35" t="str">
        <f>IF(CI10="⑦","7",IF(CI10="⑥","6",CI10))</f>
        <v>③</v>
      </c>
      <c r="CJ13" s="36"/>
      <c r="CK13" s="36"/>
      <c r="CL13" s="36"/>
      <c r="CM13" s="36"/>
      <c r="CN13" s="36"/>
      <c r="CO13" s="36"/>
      <c r="CP13" s="37"/>
      <c r="CQ13" s="36" t="str">
        <f>IF(CQ10="⑦","7",IF(CQ10="⑥","6",CQ10))</f>
        <v>②</v>
      </c>
      <c r="CR13" s="36"/>
      <c r="CS13" s="36"/>
      <c r="CT13" s="7"/>
      <c r="CU13" s="2"/>
      <c r="CV13" s="7"/>
      <c r="CW13" s="7"/>
      <c r="CX13" s="57"/>
      <c r="CY13" s="488"/>
      <c r="CZ13" s="475"/>
      <c r="DA13" s="475"/>
      <c r="DB13" s="475"/>
      <c r="DC13" s="454"/>
      <c r="DD13" s="454"/>
      <c r="DE13" s="454"/>
      <c r="DF13" s="455"/>
    </row>
    <row r="14" spans="1:110" ht="9" customHeight="1">
      <c r="A14" s="16"/>
      <c r="B14" s="593">
        <f>AV16</f>
        <v>1</v>
      </c>
      <c r="C14" s="529" t="s">
        <v>1704</v>
      </c>
      <c r="D14" s="350"/>
      <c r="E14" s="350"/>
      <c r="F14" s="645" t="str">
        <f>IF(C14="ここに","",VLOOKUP(C14,'登録ナンバー'!$A$1:$C$620,2,0))</f>
        <v>津曲</v>
      </c>
      <c r="G14" s="350"/>
      <c r="H14" s="350"/>
      <c r="I14" s="350"/>
      <c r="J14" s="350"/>
      <c r="K14" s="559" t="s">
        <v>837</v>
      </c>
      <c r="L14" s="350" t="s">
        <v>1711</v>
      </c>
      <c r="M14" s="350"/>
      <c r="N14" s="350"/>
      <c r="O14" s="350" t="str">
        <f>IF(L14="ここに","",VLOOKUP(L14,'登録ナンバー'!$A$1:$C$620,2,0))</f>
        <v>片桐</v>
      </c>
      <c r="P14" s="350"/>
      <c r="Q14" s="350"/>
      <c r="R14" s="350"/>
      <c r="S14" s="341"/>
      <c r="T14" s="344">
        <f>IF(AB10="","",IF(AND(AF10=6,AB10&lt;&gt;"⑦"),"⑥",IF(AF10=7,"⑦",AF10)))</f>
      </c>
      <c r="U14" s="424"/>
      <c r="V14" s="424"/>
      <c r="W14" s="424" t="s">
        <v>838</v>
      </c>
      <c r="X14" s="424">
        <f>IF(AB10="","",IF(AB10="⑥",6,IF(AB10="⑦",7,AB10)))</f>
      </c>
      <c r="Y14" s="424"/>
      <c r="Z14" s="424"/>
      <c r="AA14" s="425"/>
      <c r="AB14" s="601"/>
      <c r="AC14" s="602"/>
      <c r="AD14" s="602"/>
      <c r="AE14" s="602"/>
      <c r="AF14" s="602"/>
      <c r="AG14" s="602"/>
      <c r="AH14" s="602"/>
      <c r="AI14" s="602"/>
      <c r="AJ14" s="436" t="s">
        <v>842</v>
      </c>
      <c r="AK14" s="351"/>
      <c r="AL14" s="351"/>
      <c r="AM14" s="351" t="s">
        <v>838</v>
      </c>
      <c r="AN14" s="351"/>
      <c r="AO14" s="351"/>
      <c r="AP14" s="351"/>
      <c r="AQ14" s="625"/>
      <c r="AR14" s="450">
        <f>IF(COUNTIF(AS10:AU20,1)=2,"直接対決","")</f>
      </c>
      <c r="AS14" s="497">
        <f>COUNTIF(T14:AQ15,"⑥")+COUNTIF(T14:AQ15,"⑦")</f>
        <v>0</v>
      </c>
      <c r="AT14" s="497"/>
      <c r="AU14" s="497"/>
      <c r="AV14" s="456">
        <f>IF(AB10="","",2-AS14)</f>
      </c>
      <c r="AW14" s="456"/>
      <c r="AX14" s="456"/>
      <c r="AY14" s="457"/>
      <c r="AZ14" s="75"/>
      <c r="BA14" s="593">
        <f>DC16</f>
        <v>1</v>
      </c>
      <c r="BB14" s="529" t="s">
        <v>1253</v>
      </c>
      <c r="BC14" s="350"/>
      <c r="BD14" s="350"/>
      <c r="BE14" s="350" t="s">
        <v>585</v>
      </c>
      <c r="BF14" s="350"/>
      <c r="BG14" s="350"/>
      <c r="BH14" s="350"/>
      <c r="BI14" s="350"/>
      <c r="BJ14" s="559" t="s">
        <v>837</v>
      </c>
      <c r="BK14" s="350" t="s">
        <v>1726</v>
      </c>
      <c r="BL14" s="350"/>
      <c r="BM14" s="350"/>
      <c r="BN14" s="350" t="s">
        <v>585</v>
      </c>
      <c r="BO14" s="350"/>
      <c r="BP14" s="350"/>
      <c r="BQ14" s="350"/>
      <c r="BR14" s="341"/>
      <c r="BS14" s="344">
        <f>IF(CA10="","",IF(AND(CE10=6,CA10&lt;&gt;"⑦"),"⑥",IF(CE10=7,"⑦",CE10)))</f>
      </c>
      <c r="BT14" s="424"/>
      <c r="BU14" s="424"/>
      <c r="BV14" s="424" t="s">
        <v>838</v>
      </c>
      <c r="BW14" s="424">
        <f>IF(CA10="","",IF(CA10="⑥",6,IF(CA10="⑦",7,CA10)))</f>
      </c>
      <c r="BX14" s="424"/>
      <c r="BY14" s="424"/>
      <c r="BZ14" s="425"/>
      <c r="CA14" s="601"/>
      <c r="CB14" s="602"/>
      <c r="CC14" s="602"/>
      <c r="CD14" s="602"/>
      <c r="CE14" s="602"/>
      <c r="CF14" s="602"/>
      <c r="CG14" s="602"/>
      <c r="CH14" s="603"/>
      <c r="CI14" s="436" t="s">
        <v>1309</v>
      </c>
      <c r="CJ14" s="351"/>
      <c r="CK14" s="351"/>
      <c r="CL14" s="351" t="s">
        <v>838</v>
      </c>
      <c r="CM14" s="424"/>
      <c r="CN14" s="424"/>
      <c r="CO14" s="424"/>
      <c r="CP14" s="425"/>
      <c r="CQ14" s="436" t="s">
        <v>1312</v>
      </c>
      <c r="CR14" s="351"/>
      <c r="CS14" s="351" t="s">
        <v>838</v>
      </c>
      <c r="CT14" s="351"/>
      <c r="CU14" s="351"/>
      <c r="CV14" s="351"/>
      <c r="CW14" s="351"/>
      <c r="CX14" s="352"/>
      <c r="CY14" s="450">
        <f>IF(COUNTIF(CZ10:DB25,1)=2,"直接対決","")</f>
      </c>
      <c r="CZ14" s="497">
        <f>COUNTIF(BS14:CX15,"⑥")+COUNTIF(BS14:CX15,"⑦")</f>
        <v>0</v>
      </c>
      <c r="DA14" s="497"/>
      <c r="DB14" s="497"/>
      <c r="DC14" s="456">
        <f>IF(CA10="","",3-CZ14)</f>
      </c>
      <c r="DD14" s="456"/>
      <c r="DE14" s="456"/>
      <c r="DF14" s="457"/>
    </row>
    <row r="15" spans="1:110" ht="9" customHeight="1">
      <c r="A15" s="16"/>
      <c r="B15" s="593"/>
      <c r="C15" s="530"/>
      <c r="D15" s="342"/>
      <c r="E15" s="342"/>
      <c r="F15" s="638"/>
      <c r="G15" s="342"/>
      <c r="H15" s="342"/>
      <c r="I15" s="342"/>
      <c r="J15" s="342"/>
      <c r="K15" s="559"/>
      <c r="L15" s="342"/>
      <c r="M15" s="342"/>
      <c r="N15" s="342"/>
      <c r="O15" s="342"/>
      <c r="P15" s="342"/>
      <c r="Q15" s="342"/>
      <c r="R15" s="342"/>
      <c r="S15" s="343"/>
      <c r="T15" s="345"/>
      <c r="U15" s="426"/>
      <c r="V15" s="426"/>
      <c r="W15" s="426"/>
      <c r="X15" s="426"/>
      <c r="Y15" s="426"/>
      <c r="Z15" s="426"/>
      <c r="AA15" s="427"/>
      <c r="AB15" s="604"/>
      <c r="AC15" s="605"/>
      <c r="AD15" s="605"/>
      <c r="AE15" s="605"/>
      <c r="AF15" s="605"/>
      <c r="AG15" s="605"/>
      <c r="AH15" s="605"/>
      <c r="AI15" s="605"/>
      <c r="AJ15" s="437"/>
      <c r="AK15" s="348"/>
      <c r="AL15" s="348"/>
      <c r="AM15" s="348"/>
      <c r="AN15" s="348"/>
      <c r="AO15" s="348"/>
      <c r="AP15" s="348"/>
      <c r="AQ15" s="626"/>
      <c r="AR15" s="451"/>
      <c r="AS15" s="498"/>
      <c r="AT15" s="498"/>
      <c r="AU15" s="498"/>
      <c r="AV15" s="458"/>
      <c r="AW15" s="458"/>
      <c r="AX15" s="458"/>
      <c r="AY15" s="459"/>
      <c r="AZ15" s="75"/>
      <c r="BA15" s="593"/>
      <c r="BB15" s="530"/>
      <c r="BC15" s="342"/>
      <c r="BD15" s="342"/>
      <c r="BE15" s="342"/>
      <c r="BF15" s="342"/>
      <c r="BG15" s="342"/>
      <c r="BH15" s="342"/>
      <c r="BI15" s="342"/>
      <c r="BJ15" s="559"/>
      <c r="BK15" s="342"/>
      <c r="BL15" s="342"/>
      <c r="BM15" s="342"/>
      <c r="BN15" s="342"/>
      <c r="BO15" s="342"/>
      <c r="BP15" s="342"/>
      <c r="BQ15" s="342"/>
      <c r="BR15" s="343"/>
      <c r="BS15" s="345"/>
      <c r="BT15" s="426"/>
      <c r="BU15" s="426"/>
      <c r="BV15" s="426"/>
      <c r="BW15" s="426"/>
      <c r="BX15" s="426"/>
      <c r="BY15" s="426"/>
      <c r="BZ15" s="427"/>
      <c r="CA15" s="604"/>
      <c r="CB15" s="605"/>
      <c r="CC15" s="605"/>
      <c r="CD15" s="605"/>
      <c r="CE15" s="605"/>
      <c r="CF15" s="605"/>
      <c r="CG15" s="605"/>
      <c r="CH15" s="606"/>
      <c r="CI15" s="437"/>
      <c r="CJ15" s="348"/>
      <c r="CK15" s="348"/>
      <c r="CL15" s="348"/>
      <c r="CM15" s="426"/>
      <c r="CN15" s="426"/>
      <c r="CO15" s="426"/>
      <c r="CP15" s="427"/>
      <c r="CQ15" s="437"/>
      <c r="CR15" s="348"/>
      <c r="CS15" s="348"/>
      <c r="CT15" s="348"/>
      <c r="CU15" s="348"/>
      <c r="CV15" s="348"/>
      <c r="CW15" s="348"/>
      <c r="CX15" s="349"/>
      <c r="CY15" s="451"/>
      <c r="CZ15" s="498"/>
      <c r="DA15" s="498"/>
      <c r="DB15" s="498"/>
      <c r="DC15" s="458"/>
      <c r="DD15" s="458"/>
      <c r="DE15" s="458"/>
      <c r="DF15" s="459"/>
    </row>
    <row r="16" spans="1:110" ht="16.5" customHeight="1">
      <c r="A16" s="16"/>
      <c r="B16" s="16"/>
      <c r="C16" s="530" t="s">
        <v>841</v>
      </c>
      <c r="D16" s="342"/>
      <c r="E16" s="342"/>
      <c r="F16" s="638" t="str">
        <f>IF(C14="ここに","",VLOOKUP(C14,'登録ナンバー'!$A$1:$D$620,4,0))</f>
        <v>Mut</v>
      </c>
      <c r="G16" s="342"/>
      <c r="H16" s="342"/>
      <c r="I16" s="342"/>
      <c r="J16" s="342"/>
      <c r="K16" s="125"/>
      <c r="L16" s="559" t="s">
        <v>841</v>
      </c>
      <c r="M16" s="559"/>
      <c r="N16" s="559"/>
      <c r="O16" s="342" t="str">
        <f>IF(L14="ここに","",VLOOKUP(L14,'登録ナンバー'!$A$1:$D$620,4,0))</f>
        <v>TDC</v>
      </c>
      <c r="P16" s="342"/>
      <c r="Q16" s="342"/>
      <c r="R16" s="342"/>
      <c r="S16" s="637"/>
      <c r="T16" s="426"/>
      <c r="U16" s="426"/>
      <c r="V16" s="426"/>
      <c r="W16" s="426"/>
      <c r="X16" s="426"/>
      <c r="Y16" s="426"/>
      <c r="Z16" s="426"/>
      <c r="AA16" s="427"/>
      <c r="AB16" s="604"/>
      <c r="AC16" s="605"/>
      <c r="AD16" s="605"/>
      <c r="AE16" s="605"/>
      <c r="AF16" s="605"/>
      <c r="AG16" s="605"/>
      <c r="AH16" s="605"/>
      <c r="AI16" s="605"/>
      <c r="AJ16" s="437"/>
      <c r="AK16" s="348"/>
      <c r="AL16" s="348"/>
      <c r="AM16" s="348"/>
      <c r="AN16" s="435"/>
      <c r="AO16" s="435"/>
      <c r="AP16" s="435"/>
      <c r="AQ16" s="627"/>
      <c r="AR16" s="487">
        <f>IF(OR(COUNTIF(AS10:AU22,2)=3,COUNTIF(AS10:AU22,1)=3),(T17+AJ17)/(T17+AJ17+X14+AN14),"")</f>
      </c>
      <c r="AS16" s="426"/>
      <c r="AT16" s="426"/>
      <c r="AU16" s="426"/>
      <c r="AV16" s="452">
        <f>IF(AR16&lt;&gt;"",RANK(AR16,AR12:AR25),RANK(AS14,AS10:AU23))</f>
        <v>1</v>
      </c>
      <c r="AW16" s="452"/>
      <c r="AX16" s="452"/>
      <c r="AY16" s="453"/>
      <c r="AZ16" s="76"/>
      <c r="BA16" s="16"/>
      <c r="BB16" s="530" t="s">
        <v>841</v>
      </c>
      <c r="BC16" s="342"/>
      <c r="BD16" s="342"/>
      <c r="BE16" s="342" t="s">
        <v>1397</v>
      </c>
      <c r="BF16" s="342"/>
      <c r="BG16" s="342"/>
      <c r="BH16" s="342"/>
      <c r="BI16" s="342"/>
      <c r="BJ16" s="125"/>
      <c r="BK16" s="559" t="s">
        <v>841</v>
      </c>
      <c r="BL16" s="559"/>
      <c r="BM16" s="559"/>
      <c r="BN16" s="342" t="s">
        <v>1708</v>
      </c>
      <c r="BO16" s="342"/>
      <c r="BP16" s="342"/>
      <c r="BQ16" s="342"/>
      <c r="BR16" s="343"/>
      <c r="BS16" s="345"/>
      <c r="BT16" s="426"/>
      <c r="BU16" s="426"/>
      <c r="BV16" s="426"/>
      <c r="BW16" s="426"/>
      <c r="BX16" s="426"/>
      <c r="BY16" s="426"/>
      <c r="BZ16" s="427"/>
      <c r="CA16" s="604"/>
      <c r="CB16" s="605"/>
      <c r="CC16" s="605"/>
      <c r="CD16" s="605"/>
      <c r="CE16" s="605"/>
      <c r="CF16" s="605"/>
      <c r="CG16" s="605"/>
      <c r="CH16" s="606"/>
      <c r="CI16" s="437"/>
      <c r="CJ16" s="348"/>
      <c r="CK16" s="348"/>
      <c r="CL16" s="348"/>
      <c r="CM16" s="426"/>
      <c r="CN16" s="426"/>
      <c r="CO16" s="426"/>
      <c r="CP16" s="427"/>
      <c r="CQ16" s="437"/>
      <c r="CR16" s="348"/>
      <c r="CS16" s="348"/>
      <c r="CT16" s="348"/>
      <c r="CU16" s="348"/>
      <c r="CV16" s="348"/>
      <c r="CW16" s="348"/>
      <c r="CX16" s="349"/>
      <c r="CY16" s="487">
        <f>IF(OR(COUNTIF(CZ10:DB23,2)=3,COUNTIF(CZ10:DB23,1)=3),(BS17+CI17+CQ17)/(BS17+CI17+BW14+CM14+CV14+CQ17),"")</f>
      </c>
      <c r="CZ16" s="426"/>
      <c r="DA16" s="426"/>
      <c r="DB16" s="426"/>
      <c r="DC16" s="452">
        <f>IF(CY16&lt;&gt;"",RANK(CY16,CY12:CY25),RANK(CZ14,CZ10:DB23))</f>
        <v>1</v>
      </c>
      <c r="DD16" s="452"/>
      <c r="DE16" s="452"/>
      <c r="DF16" s="453"/>
    </row>
    <row r="17" spans="1:110" ht="4.5" customHeight="1" hidden="1">
      <c r="A17" s="16"/>
      <c r="B17" s="16"/>
      <c r="C17" s="531"/>
      <c r="D17" s="532"/>
      <c r="E17" s="532"/>
      <c r="F17" s="292"/>
      <c r="G17" s="134"/>
      <c r="H17" s="134"/>
      <c r="I17" s="134"/>
      <c r="J17" s="134"/>
      <c r="K17" s="125"/>
      <c r="L17" s="532"/>
      <c r="M17" s="532"/>
      <c r="N17" s="532"/>
      <c r="O17" s="125"/>
      <c r="P17" s="125"/>
      <c r="Q17" s="125"/>
      <c r="R17" s="126"/>
      <c r="S17" s="294"/>
      <c r="T17" s="35">
        <f>IF(T14="⑦","7",IF(T14="⑥","6",T14))</f>
      </c>
      <c r="U17" s="11"/>
      <c r="V17" s="11"/>
      <c r="W17" s="11"/>
      <c r="X17" s="11"/>
      <c r="Y17" s="11"/>
      <c r="Z17" s="11"/>
      <c r="AA17" s="39"/>
      <c r="AB17" s="607"/>
      <c r="AC17" s="608"/>
      <c r="AD17" s="608"/>
      <c r="AE17" s="608"/>
      <c r="AF17" s="608"/>
      <c r="AG17" s="608"/>
      <c r="AH17" s="608"/>
      <c r="AI17" s="608"/>
      <c r="AJ17" s="35" t="str">
        <f>IF(AJ14="⑦","7",IF(AJ14="⑥","6",AJ14))</f>
        <v>①</v>
      </c>
      <c r="AK17" s="36"/>
      <c r="AL17" s="36"/>
      <c r="AM17" s="36"/>
      <c r="AN17" s="36"/>
      <c r="AO17" s="36"/>
      <c r="AP17" s="36"/>
      <c r="AQ17" s="37"/>
      <c r="AR17" s="488"/>
      <c r="AS17" s="499"/>
      <c r="AT17" s="499"/>
      <c r="AU17" s="499"/>
      <c r="AV17" s="454"/>
      <c r="AW17" s="454"/>
      <c r="AX17" s="454"/>
      <c r="AY17" s="455"/>
      <c r="AZ17" s="76"/>
      <c r="BA17" s="16"/>
      <c r="BB17" s="531"/>
      <c r="BC17" s="532"/>
      <c r="BD17" s="532"/>
      <c r="BE17" s="125"/>
      <c r="BF17" s="125"/>
      <c r="BG17" s="125"/>
      <c r="BH17" s="125"/>
      <c r="BI17" s="134"/>
      <c r="BJ17" s="125"/>
      <c r="BK17" s="532"/>
      <c r="BL17" s="532"/>
      <c r="BM17" s="532"/>
      <c r="BN17" s="125"/>
      <c r="BO17" s="125"/>
      <c r="BP17" s="125"/>
      <c r="BQ17" s="126"/>
      <c r="BR17" s="293"/>
      <c r="BS17" s="35">
        <f>IF(BS14="⑦","7",IF(BS14="⑥","6",BS14))</f>
      </c>
      <c r="BT17" s="11"/>
      <c r="BU17" s="11"/>
      <c r="BV17" s="11"/>
      <c r="BW17" s="11"/>
      <c r="BX17" s="11"/>
      <c r="BY17" s="11"/>
      <c r="BZ17" s="39"/>
      <c r="CA17" s="607"/>
      <c r="CB17" s="608"/>
      <c r="CC17" s="608"/>
      <c r="CD17" s="608"/>
      <c r="CE17" s="608"/>
      <c r="CF17" s="608"/>
      <c r="CG17" s="608"/>
      <c r="CH17" s="609"/>
      <c r="CI17" s="35" t="str">
        <f>IF(CI14="⑦","7",IF(CI14="⑥","6",CI14))</f>
        <v>①</v>
      </c>
      <c r="CJ17" s="36"/>
      <c r="CK17" s="36"/>
      <c r="CL17" s="36"/>
      <c r="CM17" s="36"/>
      <c r="CN17" s="36"/>
      <c r="CO17" s="36"/>
      <c r="CP17" s="37"/>
      <c r="CQ17" s="36" t="str">
        <f>IF(CQ14="⑦","7",IF(CQ14="⑥","6",CQ14))</f>
        <v>④</v>
      </c>
      <c r="CR17" s="36"/>
      <c r="CS17" s="36"/>
      <c r="CT17" s="36"/>
      <c r="CU17" s="36"/>
      <c r="CV17" s="36"/>
      <c r="CW17" s="36"/>
      <c r="CX17" s="44"/>
      <c r="CY17" s="488"/>
      <c r="CZ17" s="499"/>
      <c r="DA17" s="499"/>
      <c r="DB17" s="499"/>
      <c r="DC17" s="454"/>
      <c r="DD17" s="454"/>
      <c r="DE17" s="454"/>
      <c r="DF17" s="455"/>
    </row>
    <row r="18" spans="1:110" ht="9" customHeight="1">
      <c r="A18" s="16"/>
      <c r="B18" s="593">
        <f>AV20</f>
        <v>1</v>
      </c>
      <c r="C18" s="529" t="s">
        <v>1253</v>
      </c>
      <c r="D18" s="350"/>
      <c r="E18" s="350"/>
      <c r="F18" s="645" t="s">
        <v>1614</v>
      </c>
      <c r="G18" s="350"/>
      <c r="H18" s="350"/>
      <c r="I18" s="350"/>
      <c r="J18" s="350"/>
      <c r="K18" s="559" t="s">
        <v>837</v>
      </c>
      <c r="L18" s="350" t="s">
        <v>1712</v>
      </c>
      <c r="M18" s="350"/>
      <c r="N18" s="350"/>
      <c r="O18" s="350" t="str">
        <f>IF(L18="ここに","",VLOOKUP(L18,'登録ナンバー'!$A$1:$C$620,2,0))</f>
        <v>杉山</v>
      </c>
      <c r="P18" s="350"/>
      <c r="Q18" s="350"/>
      <c r="R18" s="350"/>
      <c r="S18" s="341"/>
      <c r="T18" s="344">
        <f>IF(AN10="","",IF(AND(AN10=6,AJ10&lt;&gt;"⑦"),"⑥",IF(AN10=7,"⑦",AN10)))</f>
      </c>
      <c r="U18" s="424"/>
      <c r="V18" s="424"/>
      <c r="W18" s="424" t="s">
        <v>838</v>
      </c>
      <c r="X18" s="424">
        <f>IF(AN10="","",IF(AJ10="⑥",6,IF(AJ10="⑦",7,AJ10)))</f>
      </c>
      <c r="Y18" s="424"/>
      <c r="Z18" s="424"/>
      <c r="AA18" s="425"/>
      <c r="AB18" s="344">
        <f>IF(AN14="","",IF(AND(AN14=6,AJ14&lt;&gt;"⑦"),"⑥",IF(AN14=7,"⑦",AN14)))</f>
      </c>
      <c r="AC18" s="424"/>
      <c r="AD18" s="424"/>
      <c r="AE18" s="424" t="s">
        <v>838</v>
      </c>
      <c r="AF18" s="424">
        <f>IF(AN14="","",IF(AJ14="⑥",6,IF(AJ14="⑦",7,AJ14)))</f>
      </c>
      <c r="AG18" s="424"/>
      <c r="AH18" s="424"/>
      <c r="AI18" s="425"/>
      <c r="AJ18" s="476"/>
      <c r="AK18" s="477"/>
      <c r="AL18" s="477"/>
      <c r="AM18" s="477"/>
      <c r="AN18" s="477"/>
      <c r="AO18" s="477"/>
      <c r="AP18" s="480"/>
      <c r="AQ18" s="481"/>
      <c r="AR18" s="450">
        <f>IF(COUNTIF(AS10:AU20,1)=2,"直接対決","")</f>
      </c>
      <c r="AS18" s="497">
        <f>COUNTIF(T18:AQ19,"⑥")+COUNTIF(T18:AQ19,"⑦")</f>
        <v>0</v>
      </c>
      <c r="AT18" s="497"/>
      <c r="AU18" s="497"/>
      <c r="AV18" s="456">
        <f>IF(AB10="","",2-AS18)</f>
      </c>
      <c r="AW18" s="456"/>
      <c r="AX18" s="456"/>
      <c r="AY18" s="457"/>
      <c r="AZ18" s="75"/>
      <c r="BA18" s="593">
        <f>DC20</f>
        <v>1</v>
      </c>
      <c r="BB18" s="529" t="s">
        <v>1698</v>
      </c>
      <c r="BC18" s="350"/>
      <c r="BD18" s="350"/>
      <c r="BE18" s="350" t="str">
        <f>IF(BB18="ここに","",VLOOKUP(BB18,'登録ナンバー'!$A$1:$C$620,2,0))</f>
        <v>東山</v>
      </c>
      <c r="BF18" s="350"/>
      <c r="BG18" s="350"/>
      <c r="BH18" s="350"/>
      <c r="BI18" s="350"/>
      <c r="BJ18" s="559" t="s">
        <v>837</v>
      </c>
      <c r="BK18" s="350" t="s">
        <v>1727</v>
      </c>
      <c r="BL18" s="350"/>
      <c r="BM18" s="350"/>
      <c r="BN18" s="350" t="str">
        <f>IF(BK18="ここに","",VLOOKUP(BK18,'登録ナンバー'!$A$1:$C$620,2,0))</f>
        <v>姫井</v>
      </c>
      <c r="BO18" s="350"/>
      <c r="BP18" s="350"/>
      <c r="BQ18" s="350"/>
      <c r="BR18" s="341"/>
      <c r="BS18" s="344">
        <f>IF(CN10="","",IF(AND(CN10=6,CI10&lt;&gt;"⑦"),"⑥",IF(CN10=7,"⑦",CN10)))</f>
      </c>
      <c r="BT18" s="424"/>
      <c r="BU18" s="424"/>
      <c r="BV18" s="424" t="s">
        <v>838</v>
      </c>
      <c r="BW18" s="424">
        <f>IF(CM10="","",IF(CI10="⑥",6,IF(CI10="⑦",7,CI10)))</f>
      </c>
      <c r="BX18" s="424"/>
      <c r="BY18" s="424"/>
      <c r="BZ18" s="425"/>
      <c r="CA18" s="344">
        <f>IF(CM14="","",IF(AND(CM14=6,CI14&lt;&gt;"⑦"),"⑥",IF(CM14=7,"⑦",CM14)))</f>
      </c>
      <c r="CB18" s="424"/>
      <c r="CC18" s="424"/>
      <c r="CD18" s="424" t="s">
        <v>838</v>
      </c>
      <c r="CE18" s="424">
        <f>IF(CM14="","",IF(CI14="⑥",6,IF(CI14="⑦",7,CI14)))</f>
      </c>
      <c r="CF18" s="424"/>
      <c r="CG18" s="424"/>
      <c r="CH18" s="425"/>
      <c r="CI18" s="476"/>
      <c r="CJ18" s="477"/>
      <c r="CK18" s="477"/>
      <c r="CL18" s="477"/>
      <c r="CM18" s="477"/>
      <c r="CN18" s="477"/>
      <c r="CO18" s="477"/>
      <c r="CP18" s="478"/>
      <c r="CQ18" s="436" t="s">
        <v>1313</v>
      </c>
      <c r="CR18" s="351"/>
      <c r="CS18" s="351" t="s">
        <v>838</v>
      </c>
      <c r="CT18" s="351"/>
      <c r="CU18" s="351"/>
      <c r="CV18" s="351"/>
      <c r="CW18" s="351"/>
      <c r="CX18" s="352"/>
      <c r="CY18" s="450">
        <f>IF(COUNTIF(CZ10:DB25,1)=2,"直接対決","")</f>
      </c>
      <c r="CZ18" s="497">
        <f>COUNTIF(BS18:CX19,"⑥")+COUNTIF(BS18:CX19,"⑦")</f>
        <v>0</v>
      </c>
      <c r="DA18" s="497"/>
      <c r="DB18" s="497"/>
      <c r="DC18" s="456">
        <f>IF(CA10="","",3-CZ18)</f>
      </c>
      <c r="DD18" s="456"/>
      <c r="DE18" s="456"/>
      <c r="DF18" s="457"/>
    </row>
    <row r="19" spans="1:110" ht="9" customHeight="1">
      <c r="A19" s="16"/>
      <c r="B19" s="593"/>
      <c r="C19" s="530"/>
      <c r="D19" s="342"/>
      <c r="E19" s="342"/>
      <c r="F19" s="638"/>
      <c r="G19" s="342"/>
      <c r="H19" s="342"/>
      <c r="I19" s="342"/>
      <c r="J19" s="342"/>
      <c r="K19" s="559"/>
      <c r="L19" s="342"/>
      <c r="M19" s="342"/>
      <c r="N19" s="342"/>
      <c r="O19" s="342"/>
      <c r="P19" s="342"/>
      <c r="Q19" s="342"/>
      <c r="R19" s="342"/>
      <c r="S19" s="343"/>
      <c r="T19" s="345"/>
      <c r="U19" s="426"/>
      <c r="V19" s="426"/>
      <c r="W19" s="426"/>
      <c r="X19" s="426"/>
      <c r="Y19" s="426"/>
      <c r="Z19" s="426"/>
      <c r="AA19" s="427"/>
      <c r="AB19" s="345"/>
      <c r="AC19" s="426"/>
      <c r="AD19" s="426"/>
      <c r="AE19" s="426"/>
      <c r="AF19" s="426"/>
      <c r="AG19" s="426"/>
      <c r="AH19" s="426"/>
      <c r="AI19" s="427"/>
      <c r="AJ19" s="479"/>
      <c r="AK19" s="480"/>
      <c r="AL19" s="480"/>
      <c r="AM19" s="480"/>
      <c r="AN19" s="480"/>
      <c r="AO19" s="480"/>
      <c r="AP19" s="480"/>
      <c r="AQ19" s="481"/>
      <c r="AR19" s="451"/>
      <c r="AS19" s="498"/>
      <c r="AT19" s="498"/>
      <c r="AU19" s="498"/>
      <c r="AV19" s="458"/>
      <c r="AW19" s="458"/>
      <c r="AX19" s="458"/>
      <c r="AY19" s="459"/>
      <c r="AZ19" s="75"/>
      <c r="BA19" s="593"/>
      <c r="BB19" s="530"/>
      <c r="BC19" s="342"/>
      <c r="BD19" s="342"/>
      <c r="BE19" s="342"/>
      <c r="BF19" s="342"/>
      <c r="BG19" s="342"/>
      <c r="BH19" s="342"/>
      <c r="BI19" s="342"/>
      <c r="BJ19" s="559"/>
      <c r="BK19" s="342"/>
      <c r="BL19" s="342"/>
      <c r="BM19" s="342"/>
      <c r="BN19" s="342"/>
      <c r="BO19" s="342"/>
      <c r="BP19" s="342"/>
      <c r="BQ19" s="342"/>
      <c r="BR19" s="343"/>
      <c r="BS19" s="345"/>
      <c r="BT19" s="426"/>
      <c r="BU19" s="426"/>
      <c r="BV19" s="426"/>
      <c r="BW19" s="426"/>
      <c r="BX19" s="426"/>
      <c r="BY19" s="426"/>
      <c r="BZ19" s="427"/>
      <c r="CA19" s="345"/>
      <c r="CB19" s="426"/>
      <c r="CC19" s="426"/>
      <c r="CD19" s="426"/>
      <c r="CE19" s="426"/>
      <c r="CF19" s="426"/>
      <c r="CG19" s="426"/>
      <c r="CH19" s="427"/>
      <c r="CI19" s="479"/>
      <c r="CJ19" s="480"/>
      <c r="CK19" s="480"/>
      <c r="CL19" s="480"/>
      <c r="CM19" s="480"/>
      <c r="CN19" s="480"/>
      <c r="CO19" s="480"/>
      <c r="CP19" s="481"/>
      <c r="CQ19" s="437"/>
      <c r="CR19" s="348"/>
      <c r="CS19" s="348"/>
      <c r="CT19" s="348"/>
      <c r="CU19" s="348"/>
      <c r="CV19" s="348"/>
      <c r="CW19" s="348"/>
      <c r="CX19" s="349"/>
      <c r="CY19" s="451"/>
      <c r="CZ19" s="498"/>
      <c r="DA19" s="498"/>
      <c r="DB19" s="498"/>
      <c r="DC19" s="458"/>
      <c r="DD19" s="458"/>
      <c r="DE19" s="458"/>
      <c r="DF19" s="459"/>
    </row>
    <row r="20" spans="1:110" ht="15.75" customHeight="1" thickBot="1">
      <c r="A20" s="16"/>
      <c r="B20" s="16"/>
      <c r="C20" s="530" t="s">
        <v>841</v>
      </c>
      <c r="D20" s="342"/>
      <c r="E20" s="342"/>
      <c r="F20" s="638" t="s">
        <v>1397</v>
      </c>
      <c r="G20" s="342"/>
      <c r="H20" s="342"/>
      <c r="I20" s="342"/>
      <c r="J20" s="342"/>
      <c r="K20" s="125"/>
      <c r="L20" s="559" t="s">
        <v>841</v>
      </c>
      <c r="M20" s="559"/>
      <c r="N20" s="559"/>
      <c r="O20" s="342" t="str">
        <f>IF(L18="ここに","",VLOOKUP(L18,'登録ナンバー'!$A$1:$D$620,4,0))</f>
        <v>村田ＴＣ</v>
      </c>
      <c r="P20" s="342"/>
      <c r="Q20" s="342"/>
      <c r="R20" s="342"/>
      <c r="S20" s="637"/>
      <c r="T20" s="426"/>
      <c r="U20" s="426"/>
      <c r="V20" s="426"/>
      <c r="W20" s="426"/>
      <c r="X20" s="499"/>
      <c r="Y20" s="499"/>
      <c r="Z20" s="499"/>
      <c r="AA20" s="538"/>
      <c r="AB20" s="345"/>
      <c r="AC20" s="426"/>
      <c r="AD20" s="426"/>
      <c r="AE20" s="426"/>
      <c r="AF20" s="426"/>
      <c r="AG20" s="426"/>
      <c r="AH20" s="426"/>
      <c r="AI20" s="427"/>
      <c r="AJ20" s="479"/>
      <c r="AK20" s="480"/>
      <c r="AL20" s="480"/>
      <c r="AM20" s="480"/>
      <c r="AN20" s="480"/>
      <c r="AO20" s="480"/>
      <c r="AP20" s="480"/>
      <c r="AQ20" s="481"/>
      <c r="AR20" s="487">
        <f>IF(OR(COUNTIF(AS10:AU22,2)=3,COUNTIF(AS10:AU22,1)=3),(AB21+T21)/(T21+AF18+X18+AB21),"")</f>
      </c>
      <c r="AS20" s="474"/>
      <c r="AT20" s="474"/>
      <c r="AU20" s="474"/>
      <c r="AV20" s="452">
        <f>IF(AR20&lt;&gt;"",RANK(AR20,AR12:AR25),RANK(AS18,AS10:AU23))</f>
        <v>1</v>
      </c>
      <c r="AW20" s="452"/>
      <c r="AX20" s="452"/>
      <c r="AY20" s="453"/>
      <c r="AZ20" s="76"/>
      <c r="BA20" s="16"/>
      <c r="BB20" s="530" t="s">
        <v>841</v>
      </c>
      <c r="BC20" s="342"/>
      <c r="BD20" s="342"/>
      <c r="BE20" s="342" t="str">
        <f>IF(BB18="ここに","",VLOOKUP(BB18,'登録ナンバー'!$A$1:$D$620,4,0))</f>
        <v>TDC</v>
      </c>
      <c r="BF20" s="342"/>
      <c r="BG20" s="342"/>
      <c r="BH20" s="342"/>
      <c r="BI20" s="342"/>
      <c r="BJ20" s="125"/>
      <c r="BK20" s="559" t="s">
        <v>841</v>
      </c>
      <c r="BL20" s="559"/>
      <c r="BM20" s="559"/>
      <c r="BN20" s="342" t="str">
        <f>IF(BK18="ここに","",VLOOKUP(BK18,'登録ナンバー'!$A$1:$D$620,4,0))</f>
        <v>TDC</v>
      </c>
      <c r="BO20" s="342"/>
      <c r="BP20" s="342"/>
      <c r="BQ20" s="342"/>
      <c r="BR20" s="343"/>
      <c r="BS20" s="345"/>
      <c r="BT20" s="426"/>
      <c r="BU20" s="426"/>
      <c r="BV20" s="426"/>
      <c r="BW20" s="426"/>
      <c r="BX20" s="426"/>
      <c r="BY20" s="426"/>
      <c r="BZ20" s="427"/>
      <c r="CA20" s="345"/>
      <c r="CB20" s="426"/>
      <c r="CC20" s="426"/>
      <c r="CD20" s="426"/>
      <c r="CE20" s="426"/>
      <c r="CF20" s="426"/>
      <c r="CG20" s="426"/>
      <c r="CH20" s="427"/>
      <c r="CI20" s="479"/>
      <c r="CJ20" s="480"/>
      <c r="CK20" s="480"/>
      <c r="CL20" s="480"/>
      <c r="CM20" s="480"/>
      <c r="CN20" s="480"/>
      <c r="CO20" s="480"/>
      <c r="CP20" s="481"/>
      <c r="CQ20" s="437"/>
      <c r="CR20" s="348"/>
      <c r="CS20" s="435"/>
      <c r="CT20" s="348"/>
      <c r="CU20" s="348"/>
      <c r="CV20" s="348"/>
      <c r="CW20" s="348"/>
      <c r="CX20" s="349"/>
      <c r="CY20" s="487">
        <f>IF(OR(COUNTIF(CZ10:DB23,2)=3,COUNTIF(CZ10:DB23,1)=3),(CA21+CQ21+BS21)/(BS21+CE18+BW18+CV18+CQ21+CA21),"")</f>
      </c>
      <c r="CZ20" s="474"/>
      <c r="DA20" s="474"/>
      <c r="DB20" s="474"/>
      <c r="DC20" s="452">
        <f>IF(CY20&lt;&gt;"",RANK(CY20,CY12:CY25),RANK(CZ18,CZ10:DB23))</f>
        <v>1</v>
      </c>
      <c r="DD20" s="452"/>
      <c r="DE20" s="452"/>
      <c r="DF20" s="453"/>
    </row>
    <row r="21" spans="2:110" ht="4.5" customHeight="1" hidden="1">
      <c r="B21" s="16"/>
      <c r="C21" s="531"/>
      <c r="D21" s="532"/>
      <c r="E21" s="532"/>
      <c r="F21" s="125"/>
      <c r="G21" s="125"/>
      <c r="H21" s="125"/>
      <c r="I21" s="125"/>
      <c r="J21" s="125"/>
      <c r="K21" s="125"/>
      <c r="L21" s="532"/>
      <c r="M21" s="532"/>
      <c r="N21" s="532"/>
      <c r="O21" s="125"/>
      <c r="P21" s="125"/>
      <c r="Q21" s="125"/>
      <c r="R21" s="126"/>
      <c r="S21" s="294"/>
      <c r="T21" s="56">
        <f>IF(T18="⑦","7",IF(T18="⑥","6",T18))</f>
      </c>
      <c r="AA21" s="24"/>
      <c r="AB21" s="56">
        <f>IF(AB18="⑦","7",IF(AB18="⑥","6",AB18))</f>
      </c>
      <c r="AJ21" s="482"/>
      <c r="AK21" s="483"/>
      <c r="AL21" s="483"/>
      <c r="AM21" s="483"/>
      <c r="AN21" s="483"/>
      <c r="AO21" s="483"/>
      <c r="AP21" s="483"/>
      <c r="AQ21" s="484"/>
      <c r="AR21" s="487"/>
      <c r="AS21" s="474"/>
      <c r="AT21" s="474"/>
      <c r="AU21" s="474"/>
      <c r="AV21" s="452"/>
      <c r="AW21" s="452"/>
      <c r="AX21" s="452"/>
      <c r="AY21" s="453"/>
      <c r="AZ21" s="76"/>
      <c r="BA21" s="16"/>
      <c r="BB21" s="531"/>
      <c r="BC21" s="532"/>
      <c r="BD21" s="532"/>
      <c r="BE21" s="125"/>
      <c r="BF21" s="125"/>
      <c r="BG21" s="125"/>
      <c r="BH21" s="125"/>
      <c r="BI21" s="125"/>
      <c r="BJ21" s="125"/>
      <c r="BK21" s="532"/>
      <c r="BL21" s="532"/>
      <c r="BM21" s="532"/>
      <c r="BN21" s="125"/>
      <c r="BO21" s="125"/>
      <c r="BP21" s="125"/>
      <c r="BQ21" s="126"/>
      <c r="BR21" s="293"/>
      <c r="BS21" s="56">
        <f>IF(BS18="⑦","7",IF(BS18="⑥","6",BS18))</f>
      </c>
      <c r="BZ21" s="24"/>
      <c r="CA21" s="56">
        <f>IF(CA18="⑦","7",IF(CA18="⑥","6",CA18))</f>
      </c>
      <c r="CI21" s="482"/>
      <c r="CJ21" s="483"/>
      <c r="CK21" s="483"/>
      <c r="CL21" s="483"/>
      <c r="CM21" s="483"/>
      <c r="CN21" s="483"/>
      <c r="CO21" s="483"/>
      <c r="CP21" s="484"/>
      <c r="CQ21" s="36" t="str">
        <f>IF(CQ18="⑦","7",IF(CQ18="⑥","6",CQ18))</f>
        <v>⑤</v>
      </c>
      <c r="CR21" s="36"/>
      <c r="CS21" s="36"/>
      <c r="CT21" s="36"/>
      <c r="CU21" s="36"/>
      <c r="CV21" s="36"/>
      <c r="CW21" s="36"/>
      <c r="CX21" s="44"/>
      <c r="CY21" s="488"/>
      <c r="CZ21" s="475"/>
      <c r="DA21" s="475"/>
      <c r="DB21" s="475"/>
      <c r="DC21" s="454"/>
      <c r="DD21" s="454"/>
      <c r="DE21" s="454"/>
      <c r="DF21" s="455"/>
    </row>
    <row r="22" spans="3:110" ht="9" customHeight="1">
      <c r="C22" s="4"/>
      <c r="D22" s="4"/>
      <c r="E22" s="4"/>
      <c r="F22" s="4"/>
      <c r="G22" s="4"/>
      <c r="H22" s="4"/>
      <c r="I22" s="4"/>
      <c r="J22" s="4"/>
      <c r="K22" s="64"/>
      <c r="L22" s="55"/>
      <c r="M22" s="55"/>
      <c r="N22" s="55"/>
      <c r="O22" s="55"/>
      <c r="P22" s="55"/>
      <c r="Q22" s="55"/>
      <c r="R22" s="55"/>
      <c r="S22" s="64"/>
      <c r="T22" s="55"/>
      <c r="U22" s="55"/>
      <c r="V22" s="55"/>
      <c r="W22" s="55"/>
      <c r="X22" s="55"/>
      <c r="Y22" s="55"/>
      <c r="Z22" s="55"/>
      <c r="AA22" s="4"/>
      <c r="AB22" s="4"/>
      <c r="AC22" s="4"/>
      <c r="AD22" s="4"/>
      <c r="AE22" s="4"/>
      <c r="AF22" s="4"/>
      <c r="AG22" s="4"/>
      <c r="AH22" s="4"/>
      <c r="AI22" s="65"/>
      <c r="AJ22" s="65"/>
      <c r="AK22" s="65"/>
      <c r="AL22" s="65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62"/>
      <c r="BA22" s="593">
        <f>DC24</f>
        <v>1</v>
      </c>
      <c r="BB22" s="529" t="s">
        <v>1254</v>
      </c>
      <c r="BC22" s="350"/>
      <c r="BD22" s="350"/>
      <c r="BE22" s="529" t="s">
        <v>1701</v>
      </c>
      <c r="BF22" s="350"/>
      <c r="BG22" s="350"/>
      <c r="BH22" s="350"/>
      <c r="BI22" s="350"/>
      <c r="BJ22" s="559" t="s">
        <v>837</v>
      </c>
      <c r="BK22" s="350" t="s">
        <v>1728</v>
      </c>
      <c r="BL22" s="350"/>
      <c r="BM22" s="350"/>
      <c r="BN22" s="350" t="s">
        <v>1274</v>
      </c>
      <c r="BO22" s="350"/>
      <c r="BP22" s="350"/>
      <c r="BQ22" s="350"/>
      <c r="BR22" s="341"/>
      <c r="BS22" s="344">
        <f>IF(CT10="","",IF(AND(CT10=6,CQ10&lt;&gt;"⑦"),"⑥",IF(CT10=7,"⑦",CT10)))</f>
      </c>
      <c r="BT22" s="424"/>
      <c r="BU22" s="424"/>
      <c r="BV22" s="424" t="s">
        <v>838</v>
      </c>
      <c r="BW22" s="424">
        <f>IF(CV10="","",IF(CQ10="⑥",6,IF(CQ10="⑦",7,CQ10)))</f>
      </c>
      <c r="BX22" s="424"/>
      <c r="BY22" s="424"/>
      <c r="BZ22" s="425"/>
      <c r="CA22" s="344">
        <f>IF(CT14="","",IF(AND(CT14=6,CQ14&lt;&gt;"⑦"),"⑥",IF(CT14=7,"⑦",CT14)))</f>
      </c>
      <c r="CB22" s="424"/>
      <c r="CC22" s="424"/>
      <c r="CD22" s="424" t="s">
        <v>838</v>
      </c>
      <c r="CE22" s="424">
        <f>IF(CT14="","",IF(CQ14="⑥",6,IF(CQ14="⑦",7,CQ14)))</f>
      </c>
      <c r="CF22" s="424"/>
      <c r="CG22" s="424"/>
      <c r="CH22" s="425"/>
      <c r="CI22" s="344">
        <f>IF(CT18="","",IF(AND(CT18=6,CQ18&lt;&gt;"⑦"),"⑥",IF(CT18=7,"⑦",CT18)))</f>
      </c>
      <c r="CJ22" s="424"/>
      <c r="CK22" s="424"/>
      <c r="CL22" s="424" t="s">
        <v>838</v>
      </c>
      <c r="CM22" s="424">
        <f>IF(CT18="","",IF(CQ18="⑥",6,IF(CQ18="⑦",7,CQ18)))</f>
      </c>
      <c r="CN22" s="424"/>
      <c r="CO22" s="424"/>
      <c r="CP22" s="425"/>
      <c r="CQ22" s="476"/>
      <c r="CR22" s="477"/>
      <c r="CS22" s="477"/>
      <c r="CT22" s="477"/>
      <c r="CU22" s="477"/>
      <c r="CV22" s="477"/>
      <c r="CW22" s="477"/>
      <c r="CX22" s="515"/>
      <c r="CY22" s="450">
        <f>IF(COUNTIF(CZ10:DB23,1)=2,"直接対決","")</f>
      </c>
      <c r="CZ22" s="497">
        <f>COUNTIF(BS22:CP23,"⑥")+COUNTIF(BS22:CP23,"⑦")</f>
        <v>0</v>
      </c>
      <c r="DA22" s="497"/>
      <c r="DB22" s="497"/>
      <c r="DC22" s="456">
        <f>IF(CA10="","",3-CZ22)</f>
      </c>
      <c r="DD22" s="456"/>
      <c r="DE22" s="456"/>
      <c r="DF22" s="457"/>
    </row>
    <row r="23" spans="3:110" ht="9" customHeight="1">
      <c r="C23" s="426" t="s">
        <v>4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2"/>
      <c r="AZ23" s="2"/>
      <c r="BA23" s="500"/>
      <c r="BB23" s="530"/>
      <c r="BC23" s="342"/>
      <c r="BD23" s="342"/>
      <c r="BE23" s="530"/>
      <c r="BF23" s="342"/>
      <c r="BG23" s="342"/>
      <c r="BH23" s="342"/>
      <c r="BI23" s="342"/>
      <c r="BJ23" s="559"/>
      <c r="BK23" s="342"/>
      <c r="BL23" s="342"/>
      <c r="BM23" s="342"/>
      <c r="BN23" s="342"/>
      <c r="BO23" s="342"/>
      <c r="BP23" s="342"/>
      <c r="BQ23" s="342"/>
      <c r="BR23" s="343"/>
      <c r="BS23" s="345"/>
      <c r="BT23" s="426"/>
      <c r="BU23" s="426"/>
      <c r="BV23" s="426"/>
      <c r="BW23" s="426"/>
      <c r="BX23" s="426"/>
      <c r="BY23" s="426"/>
      <c r="BZ23" s="427"/>
      <c r="CA23" s="345"/>
      <c r="CB23" s="426"/>
      <c r="CC23" s="426"/>
      <c r="CD23" s="426"/>
      <c r="CE23" s="426"/>
      <c r="CF23" s="426"/>
      <c r="CG23" s="426"/>
      <c r="CH23" s="427"/>
      <c r="CI23" s="345"/>
      <c r="CJ23" s="426"/>
      <c r="CK23" s="426"/>
      <c r="CL23" s="426"/>
      <c r="CM23" s="426"/>
      <c r="CN23" s="426"/>
      <c r="CO23" s="426"/>
      <c r="CP23" s="427"/>
      <c r="CQ23" s="479"/>
      <c r="CR23" s="480"/>
      <c r="CS23" s="480"/>
      <c r="CT23" s="480"/>
      <c r="CU23" s="480"/>
      <c r="CV23" s="480"/>
      <c r="CW23" s="480"/>
      <c r="CX23" s="516"/>
      <c r="CY23" s="451"/>
      <c r="CZ23" s="498"/>
      <c r="DA23" s="498"/>
      <c r="DB23" s="498"/>
      <c r="DC23" s="458"/>
      <c r="DD23" s="458"/>
      <c r="DE23" s="458"/>
      <c r="DF23" s="459"/>
    </row>
    <row r="24" spans="3:110" ht="15.75" customHeight="1" thickBot="1"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66"/>
      <c r="AZ24" s="2"/>
      <c r="BA24" s="16"/>
      <c r="BB24" s="530" t="s">
        <v>841</v>
      </c>
      <c r="BC24" s="342"/>
      <c r="BD24" s="342"/>
      <c r="BE24" s="530" t="s">
        <v>1397</v>
      </c>
      <c r="BF24" s="342"/>
      <c r="BG24" s="342"/>
      <c r="BH24" s="342"/>
      <c r="BI24" s="342"/>
      <c r="BJ24" s="125"/>
      <c r="BK24" s="559" t="s">
        <v>841</v>
      </c>
      <c r="BL24" s="559"/>
      <c r="BM24" s="559"/>
      <c r="BN24" s="342" t="s">
        <v>1397</v>
      </c>
      <c r="BO24" s="342"/>
      <c r="BP24" s="342"/>
      <c r="BQ24" s="342"/>
      <c r="BR24" s="343"/>
      <c r="BS24" s="514"/>
      <c r="BT24" s="428"/>
      <c r="BU24" s="428"/>
      <c r="BV24" s="426"/>
      <c r="BW24" s="428"/>
      <c r="BX24" s="428"/>
      <c r="BY24" s="428"/>
      <c r="BZ24" s="429"/>
      <c r="CA24" s="514"/>
      <c r="CB24" s="428"/>
      <c r="CC24" s="428"/>
      <c r="CD24" s="426"/>
      <c r="CE24" s="428"/>
      <c r="CF24" s="428"/>
      <c r="CG24" s="428"/>
      <c r="CH24" s="429"/>
      <c r="CI24" s="514"/>
      <c r="CJ24" s="428"/>
      <c r="CK24" s="428"/>
      <c r="CL24" s="428"/>
      <c r="CM24" s="428"/>
      <c r="CN24" s="428"/>
      <c r="CO24" s="428"/>
      <c r="CP24" s="429"/>
      <c r="CQ24" s="479"/>
      <c r="CR24" s="480"/>
      <c r="CS24" s="480"/>
      <c r="CT24" s="480"/>
      <c r="CU24" s="480"/>
      <c r="CV24" s="480"/>
      <c r="CW24" s="480"/>
      <c r="CX24" s="516"/>
      <c r="CY24" s="487">
        <f>IF(OR(COUNTIF(CZ10:DB23,2)=3,COUNTIF(CZ10:DB23,1)=3),(CA25+CI25+BS25)/(CA25+CI25+CE22+CM22+BW22+BS25),"")</f>
      </c>
      <c r="CZ24" s="474"/>
      <c r="DA24" s="474"/>
      <c r="DB24" s="474"/>
      <c r="DC24" s="452">
        <f>IF(CY24&lt;&gt;"",RANK(CY24,CY12:CY25),RANK(CZ22,CZ10:DB23))</f>
        <v>1</v>
      </c>
      <c r="DD24" s="452"/>
      <c r="DE24" s="452"/>
      <c r="DF24" s="453"/>
    </row>
    <row r="25" spans="3:110" ht="6" customHeight="1" hidden="1">
      <c r="C25" s="517" t="s">
        <v>850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68"/>
      <c r="T25" s="517" t="str">
        <f>F29</f>
        <v>遠崎</v>
      </c>
      <c r="U25" s="518"/>
      <c r="V25" s="518"/>
      <c r="W25" s="518"/>
      <c r="X25" s="518"/>
      <c r="Y25" s="518"/>
      <c r="Z25" s="518"/>
      <c r="AA25" s="568"/>
      <c r="AB25" s="345" t="str">
        <f>F33</f>
        <v>上津</v>
      </c>
      <c r="AC25" s="426"/>
      <c r="AD25" s="426"/>
      <c r="AE25" s="426"/>
      <c r="AF25" s="426"/>
      <c r="AG25" s="426"/>
      <c r="AH25" s="426"/>
      <c r="AI25" s="426"/>
      <c r="AJ25" s="345" t="str">
        <f>F37</f>
        <v>山口</v>
      </c>
      <c r="AK25" s="426"/>
      <c r="AL25" s="426"/>
      <c r="AM25" s="426"/>
      <c r="AN25" s="426"/>
      <c r="AO25" s="426"/>
      <c r="AP25" s="426"/>
      <c r="AQ25" s="427"/>
      <c r="AR25" s="502">
        <f>IF(AR31&lt;&gt;"","取得","")</f>
      </c>
      <c r="AT25" s="426" t="s">
        <v>834</v>
      </c>
      <c r="AU25" s="426"/>
      <c r="AV25" s="426"/>
      <c r="AW25" s="426"/>
      <c r="AX25" s="426"/>
      <c r="AY25" s="500"/>
      <c r="AZ25" s="74"/>
      <c r="BA25" s="16"/>
      <c r="BB25" s="531"/>
      <c r="BC25" s="532"/>
      <c r="BD25" s="532"/>
      <c r="BE25" s="125"/>
      <c r="BF25" s="125"/>
      <c r="BG25" s="125"/>
      <c r="BH25" s="125"/>
      <c r="BI25" s="125"/>
      <c r="BJ25" s="125"/>
      <c r="BK25" s="532"/>
      <c r="BL25" s="532"/>
      <c r="BM25" s="532"/>
      <c r="BN25" s="125"/>
      <c r="BO25" s="125"/>
      <c r="BP25" s="125"/>
      <c r="BQ25" s="126"/>
      <c r="BR25" s="294"/>
      <c r="BS25" s="69">
        <f>IF(BS22="⑦","7",IF(BS22="⑥","6",BS22))</f>
      </c>
      <c r="BT25" s="55"/>
      <c r="BU25" s="55"/>
      <c r="BV25" s="55"/>
      <c r="BW25" s="55"/>
      <c r="BX25" s="55"/>
      <c r="BY25" s="55"/>
      <c r="BZ25" s="68"/>
      <c r="CA25" s="69">
        <f>IF(CA22="⑦","7",IF(CA22="⑥","6",CA22))</f>
      </c>
      <c r="CB25" s="55"/>
      <c r="CC25" s="55"/>
      <c r="CD25" s="55"/>
      <c r="CE25" s="55"/>
      <c r="CF25" s="55"/>
      <c r="CG25" s="55"/>
      <c r="CH25" s="68"/>
      <c r="CI25" s="69">
        <f>IF(CI22="⑦","7",IF(CI22="⑥","6",CI22))</f>
      </c>
      <c r="CJ25" s="55"/>
      <c r="CK25" s="55"/>
      <c r="CL25" s="55"/>
      <c r="CM25" s="55"/>
      <c r="CN25" s="55"/>
      <c r="CO25" s="55"/>
      <c r="CP25" s="68"/>
      <c r="CQ25" s="479"/>
      <c r="CR25" s="480"/>
      <c r="CS25" s="480"/>
      <c r="CT25" s="480"/>
      <c r="CU25" s="480"/>
      <c r="CV25" s="480"/>
      <c r="CW25" s="480"/>
      <c r="CX25" s="516"/>
      <c r="CY25" s="512"/>
      <c r="CZ25" s="524"/>
      <c r="DA25" s="524"/>
      <c r="DB25" s="524"/>
      <c r="DC25" s="522"/>
      <c r="DD25" s="522"/>
      <c r="DE25" s="522"/>
      <c r="DF25" s="523"/>
    </row>
    <row r="26" spans="1:110" ht="16.5" customHeight="1">
      <c r="A26" s="16"/>
      <c r="C26" s="345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7"/>
      <c r="T26" s="345"/>
      <c r="U26" s="426"/>
      <c r="V26" s="426"/>
      <c r="W26" s="426"/>
      <c r="X26" s="426"/>
      <c r="Y26" s="426"/>
      <c r="Z26" s="426"/>
      <c r="AA26" s="427"/>
      <c r="AB26" s="345"/>
      <c r="AC26" s="426"/>
      <c r="AD26" s="426"/>
      <c r="AE26" s="426"/>
      <c r="AF26" s="426"/>
      <c r="AG26" s="426"/>
      <c r="AH26" s="426"/>
      <c r="AI26" s="426"/>
      <c r="AJ26" s="345"/>
      <c r="AK26" s="426"/>
      <c r="AL26" s="426"/>
      <c r="AM26" s="426"/>
      <c r="AN26" s="426"/>
      <c r="AO26" s="426"/>
      <c r="AP26" s="426"/>
      <c r="AQ26" s="427"/>
      <c r="AR26" s="502"/>
      <c r="AT26" s="426"/>
      <c r="AU26" s="426"/>
      <c r="AV26" s="426"/>
      <c r="AW26" s="426"/>
      <c r="AX26" s="426"/>
      <c r="AY26" s="500"/>
      <c r="AZ26" s="2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13"/>
      <c r="CI26" s="13"/>
      <c r="CJ26" s="13"/>
      <c r="CK26" s="13"/>
      <c r="CL26" s="13"/>
      <c r="CM26" s="13"/>
      <c r="CN26" s="13"/>
      <c r="CO26" s="13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</row>
    <row r="27" spans="1:100" ht="9" customHeight="1">
      <c r="A27" s="16"/>
      <c r="C27" s="345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7"/>
      <c r="T27" s="345" t="str">
        <f>O29</f>
        <v>遠崎</v>
      </c>
      <c r="U27" s="426"/>
      <c r="V27" s="426"/>
      <c r="W27" s="426"/>
      <c r="X27" s="426"/>
      <c r="Y27" s="426"/>
      <c r="Z27" s="426"/>
      <c r="AA27" s="427"/>
      <c r="AB27" s="345" t="str">
        <f>O33</f>
        <v>草野</v>
      </c>
      <c r="AC27" s="426"/>
      <c r="AD27" s="426"/>
      <c r="AE27" s="426"/>
      <c r="AF27" s="426"/>
      <c r="AG27" s="426"/>
      <c r="AH27" s="426"/>
      <c r="AI27" s="426"/>
      <c r="AJ27" s="345" t="str">
        <f>O37</f>
        <v>辻 </v>
      </c>
      <c r="AK27" s="426"/>
      <c r="AL27" s="426"/>
      <c r="AM27" s="426"/>
      <c r="AN27" s="426"/>
      <c r="AO27" s="426"/>
      <c r="AP27" s="426"/>
      <c r="AQ27" s="427"/>
      <c r="AR27" s="502">
        <f>IF(AR31&lt;&gt;"","ゲーム率","")</f>
      </c>
      <c r="AS27" s="426"/>
      <c r="AT27" s="426" t="s">
        <v>835</v>
      </c>
      <c r="AU27" s="426"/>
      <c r="AV27" s="426"/>
      <c r="AW27" s="426"/>
      <c r="AX27" s="426"/>
      <c r="AY27" s="500"/>
      <c r="AZ27" s="2"/>
      <c r="BU27" s="2"/>
      <c r="BV27" s="383" t="s">
        <v>858</v>
      </c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2"/>
      <c r="CK27" s="2"/>
      <c r="CL27" s="2"/>
      <c r="CM27" s="2"/>
      <c r="CN27" s="2"/>
      <c r="CO27" s="6"/>
      <c r="CP27" s="6"/>
      <c r="CQ27" s="6"/>
      <c r="CR27" s="6"/>
      <c r="CS27" s="6"/>
      <c r="CT27" s="6"/>
      <c r="CU27" s="6"/>
      <c r="CV27" s="6"/>
    </row>
    <row r="28" spans="1:100" ht="9" customHeight="1">
      <c r="A28" s="16"/>
      <c r="C28" s="537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538"/>
      <c r="T28" s="537"/>
      <c r="U28" s="499"/>
      <c r="V28" s="499"/>
      <c r="W28" s="499"/>
      <c r="X28" s="499"/>
      <c r="Y28" s="499"/>
      <c r="Z28" s="499"/>
      <c r="AA28" s="538"/>
      <c r="AB28" s="537"/>
      <c r="AC28" s="499"/>
      <c r="AD28" s="499"/>
      <c r="AE28" s="499"/>
      <c r="AF28" s="499"/>
      <c r="AG28" s="499"/>
      <c r="AH28" s="499"/>
      <c r="AI28" s="499"/>
      <c r="AJ28" s="537"/>
      <c r="AK28" s="499"/>
      <c r="AL28" s="499"/>
      <c r="AM28" s="499"/>
      <c r="AN28" s="499"/>
      <c r="AO28" s="499"/>
      <c r="AP28" s="499"/>
      <c r="AQ28" s="538"/>
      <c r="AR28" s="503"/>
      <c r="AS28" s="499"/>
      <c r="AT28" s="499"/>
      <c r="AU28" s="499"/>
      <c r="AV28" s="499"/>
      <c r="AW28" s="499"/>
      <c r="AX28" s="499"/>
      <c r="AY28" s="501"/>
      <c r="AZ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7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  <c r="CH28" s="383"/>
      <c r="CI28" s="383"/>
      <c r="CJ28" s="2"/>
      <c r="CK28" s="2"/>
      <c r="CL28" s="2"/>
      <c r="CM28" s="2"/>
      <c r="CN28" s="2"/>
      <c r="CO28" s="6"/>
      <c r="CP28" s="6"/>
      <c r="CQ28" s="6"/>
      <c r="CR28" s="6"/>
      <c r="CS28" s="6"/>
      <c r="CT28" s="6"/>
      <c r="CU28" s="6"/>
      <c r="CV28" s="6"/>
    </row>
    <row r="29" spans="1:116" s="2" customFormat="1" ht="9" customHeight="1">
      <c r="A29" s="74"/>
      <c r="B29" s="593">
        <f>AV31</f>
        <v>1</v>
      </c>
      <c r="C29" s="529" t="s">
        <v>1696</v>
      </c>
      <c r="D29" s="350"/>
      <c r="E29" s="350"/>
      <c r="F29" s="645" t="str">
        <f>IF(C29="ここに","",VLOOKUP(C29,'登録ナンバー'!$A$1:$C$620,2,0))</f>
        <v>遠崎</v>
      </c>
      <c r="G29" s="350"/>
      <c r="H29" s="350"/>
      <c r="I29" s="350"/>
      <c r="J29" s="350"/>
      <c r="K29" s="559" t="s">
        <v>837</v>
      </c>
      <c r="L29" s="350" t="s">
        <v>1713</v>
      </c>
      <c r="M29" s="350"/>
      <c r="N29" s="350"/>
      <c r="O29" s="350" t="s">
        <v>1823</v>
      </c>
      <c r="P29" s="350"/>
      <c r="Q29" s="350"/>
      <c r="R29" s="350"/>
      <c r="S29" s="341"/>
      <c r="T29" s="628" t="str">
        <f>IF(AB29="","丸付き数字は試合順番","")</f>
        <v>丸付き数字は試合順番</v>
      </c>
      <c r="U29" s="629"/>
      <c r="V29" s="629"/>
      <c r="W29" s="629"/>
      <c r="X29" s="629"/>
      <c r="Y29" s="629"/>
      <c r="Z29" s="629"/>
      <c r="AA29" s="630"/>
      <c r="AB29" s="436"/>
      <c r="AC29" s="351"/>
      <c r="AD29" s="351"/>
      <c r="AE29" s="351" t="s">
        <v>838</v>
      </c>
      <c r="AF29" s="351" t="s">
        <v>839</v>
      </c>
      <c r="AG29" s="351"/>
      <c r="AH29" s="351"/>
      <c r="AI29" s="625"/>
      <c r="AJ29" s="436" t="s">
        <v>840</v>
      </c>
      <c r="AK29" s="351"/>
      <c r="AL29" s="351"/>
      <c r="AM29" s="351" t="s">
        <v>838</v>
      </c>
      <c r="AN29" s="351"/>
      <c r="AO29" s="351"/>
      <c r="AP29" s="351"/>
      <c r="AQ29" s="625"/>
      <c r="AR29" s="450">
        <f>IF(COUNTIF(AS29:AU39,1)=2,"直接対決","")</f>
      </c>
      <c r="AS29" s="497">
        <f>COUNTIF(T29:AQ30,"⑥")+COUNTIF(T29:AQ30,"⑦")</f>
        <v>0</v>
      </c>
      <c r="AT29" s="497"/>
      <c r="AU29" s="497"/>
      <c r="AV29" s="456">
        <f>IF(AB29="","",2-AS29)</f>
      </c>
      <c r="AW29" s="456"/>
      <c r="AX29" s="456"/>
      <c r="AY29" s="457"/>
      <c r="AZ29" s="73"/>
      <c r="BA29" s="649"/>
      <c r="BB29" s="60"/>
      <c r="BC29" s="60"/>
      <c r="BD29" s="60"/>
      <c r="BE29" s="60"/>
      <c r="BF29" s="60"/>
      <c r="BG29" s="60"/>
      <c r="BH29" s="60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7" s="2" customFormat="1" ht="9" customHeight="1">
      <c r="A30" s="74"/>
      <c r="B30" s="593"/>
      <c r="C30" s="530"/>
      <c r="D30" s="342"/>
      <c r="E30" s="342"/>
      <c r="F30" s="638"/>
      <c r="G30" s="342"/>
      <c r="H30" s="342"/>
      <c r="I30" s="342"/>
      <c r="J30" s="342"/>
      <c r="K30" s="559"/>
      <c r="L30" s="342"/>
      <c r="M30" s="342"/>
      <c r="N30" s="342"/>
      <c r="O30" s="342"/>
      <c r="P30" s="342"/>
      <c r="Q30" s="342"/>
      <c r="R30" s="342"/>
      <c r="S30" s="343"/>
      <c r="T30" s="631"/>
      <c r="U30" s="632"/>
      <c r="V30" s="632"/>
      <c r="W30" s="632"/>
      <c r="X30" s="632"/>
      <c r="Y30" s="632"/>
      <c r="Z30" s="632"/>
      <c r="AA30" s="633"/>
      <c r="AB30" s="437"/>
      <c r="AC30" s="348"/>
      <c r="AD30" s="348"/>
      <c r="AE30" s="348"/>
      <c r="AF30" s="348"/>
      <c r="AG30" s="348"/>
      <c r="AH30" s="348"/>
      <c r="AI30" s="626"/>
      <c r="AJ30" s="437"/>
      <c r="AK30" s="348"/>
      <c r="AL30" s="348"/>
      <c r="AM30" s="348"/>
      <c r="AN30" s="348"/>
      <c r="AO30" s="348"/>
      <c r="AP30" s="348"/>
      <c r="AQ30" s="626"/>
      <c r="AR30" s="451"/>
      <c r="AS30" s="498"/>
      <c r="AT30" s="498"/>
      <c r="AU30" s="498"/>
      <c r="AV30" s="458"/>
      <c r="AW30" s="458"/>
      <c r="AX30" s="458"/>
      <c r="AY30" s="459"/>
      <c r="AZ30" s="73"/>
      <c r="BA30" s="426"/>
      <c r="BE30" s="426" t="str">
        <f>IF($AB$10="","リーグ1",VLOOKUP(1,$B$10:$S$21,5,FALSE))</f>
        <v>リーグ1</v>
      </c>
      <c r="BF30" s="426"/>
      <c r="BG30" s="426"/>
      <c r="BH30" s="426"/>
      <c r="BI30" s="426"/>
      <c r="BJ30" s="426"/>
      <c r="BK30" s="426"/>
      <c r="BL30" s="426">
        <f>IF($AB$10="","",VLOOKUP(1,$B$10:$S$21,14,FALSE))</f>
      </c>
      <c r="BM30" s="426"/>
      <c r="BN30" s="426"/>
      <c r="BO30" s="426"/>
      <c r="BP30" s="426"/>
      <c r="BQ30" s="426"/>
      <c r="BR30" s="426"/>
      <c r="BS30" s="17"/>
      <c r="BT30" s="17"/>
      <c r="BU30" s="17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17"/>
      <c r="CM30" s="17"/>
      <c r="CN30" s="17"/>
      <c r="CO30" s="17"/>
      <c r="CP30" s="18"/>
      <c r="CQ30" s="426" t="str">
        <f>IF($AB$67="","リーグ4",VLOOKUP(1,$B$67:$S$76,5,FALSE))</f>
        <v>リーグ4</v>
      </c>
      <c r="CR30" s="426"/>
      <c r="CS30" s="426"/>
      <c r="CT30" s="426"/>
      <c r="CU30" s="426"/>
      <c r="CV30" s="426"/>
      <c r="CW30" s="426"/>
      <c r="CX30" s="426">
        <f>IF($AB$67="","",VLOOKUP(1,$B$67:$S$76,14,FALSE))</f>
      </c>
      <c r="CY30" s="426"/>
      <c r="CZ30" s="426"/>
      <c r="DF30" s="3"/>
      <c r="DG30" s="3"/>
      <c r="DH30" s="3"/>
      <c r="DI30" s="3"/>
      <c r="DJ30" s="3"/>
      <c r="DK30" s="3"/>
      <c r="DL30" s="3"/>
      <c r="DM30" s="3"/>
    </row>
    <row r="31" spans="1:104" ht="14.25" customHeight="1">
      <c r="A31" s="16"/>
      <c r="C31" s="530" t="s">
        <v>841</v>
      </c>
      <c r="D31" s="342"/>
      <c r="E31" s="342"/>
      <c r="F31" s="638" t="str">
        <f>IF(C29="ここに","",VLOOKUP(C29,'登録ナンバー'!$A$1:$D$620,4,0))</f>
        <v>村田ＴＣ</v>
      </c>
      <c r="G31" s="342"/>
      <c r="H31" s="342"/>
      <c r="I31" s="342"/>
      <c r="J31" s="342"/>
      <c r="K31" s="125"/>
      <c r="L31" s="559" t="s">
        <v>841</v>
      </c>
      <c r="M31" s="559"/>
      <c r="N31" s="559"/>
      <c r="O31" s="342" t="str">
        <f>IF(L29="ここに","",VLOOKUP(L29,'登録ナンバー'!$A$1:$D$620,4,0))</f>
        <v>グリフィンズ</v>
      </c>
      <c r="P31" s="342"/>
      <c r="Q31" s="342"/>
      <c r="R31" s="342"/>
      <c r="S31" s="637"/>
      <c r="T31" s="632"/>
      <c r="U31" s="632"/>
      <c r="V31" s="632"/>
      <c r="W31" s="632"/>
      <c r="X31" s="632"/>
      <c r="Y31" s="632"/>
      <c r="Z31" s="632"/>
      <c r="AA31" s="633"/>
      <c r="AB31" s="437"/>
      <c r="AC31" s="348"/>
      <c r="AD31" s="348"/>
      <c r="AE31" s="348"/>
      <c r="AF31" s="348"/>
      <c r="AG31" s="348"/>
      <c r="AH31" s="348"/>
      <c r="AI31" s="626"/>
      <c r="AJ31" s="437"/>
      <c r="AK31" s="348"/>
      <c r="AL31" s="348"/>
      <c r="AM31" s="348"/>
      <c r="AN31" s="348"/>
      <c r="AO31" s="348"/>
      <c r="AP31" s="348"/>
      <c r="AQ31" s="626"/>
      <c r="AR31" s="487">
        <f>IF(OR(COUNTIF(AS29:AU41,2)=3,COUNTIF(AS29:AU41,1)=3),(AB32+AJ32)/(AB32+AJ32+AF29+AN29),"")</f>
      </c>
      <c r="AS31" s="474"/>
      <c r="AT31" s="474"/>
      <c r="AU31" s="474"/>
      <c r="AV31" s="452">
        <f>IF(AR31&lt;&gt;"",RANK(AR31,AR31:AR44),RANK(AS29,AS29:AU42))</f>
        <v>1</v>
      </c>
      <c r="AW31" s="452"/>
      <c r="AX31" s="452"/>
      <c r="AY31" s="453"/>
      <c r="AZ31" s="62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18"/>
      <c r="BT31" s="18"/>
      <c r="BU31" s="19"/>
      <c r="BV31" s="18"/>
      <c r="BW31" s="18"/>
      <c r="BX31" s="18"/>
      <c r="BY31" s="18"/>
      <c r="BZ31" s="18"/>
      <c r="CA31" s="383" t="s">
        <v>847</v>
      </c>
      <c r="CB31" s="383"/>
      <c r="CC31" s="383"/>
      <c r="CD31" s="383"/>
      <c r="CE31" s="383"/>
      <c r="CF31" s="383"/>
      <c r="CG31" s="18"/>
      <c r="CH31" s="17"/>
      <c r="CI31" s="17"/>
      <c r="CJ31" s="17"/>
      <c r="CK31" s="28"/>
      <c r="CL31" s="651" t="s">
        <v>1310</v>
      </c>
      <c r="CM31" s="640"/>
      <c r="CN31" s="640"/>
      <c r="CO31" s="18"/>
      <c r="CP31" s="18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</row>
    <row r="32" spans="1:93" ht="4.5" customHeight="1" hidden="1">
      <c r="A32" s="16"/>
      <c r="C32" s="531"/>
      <c r="D32" s="532"/>
      <c r="E32" s="532"/>
      <c r="F32" s="292"/>
      <c r="G32" s="134"/>
      <c r="H32" s="134"/>
      <c r="I32" s="134"/>
      <c r="J32" s="134"/>
      <c r="K32" s="125"/>
      <c r="L32" s="532"/>
      <c r="M32" s="532"/>
      <c r="N32" s="532"/>
      <c r="O32" s="125"/>
      <c r="P32" s="125"/>
      <c r="Q32" s="125"/>
      <c r="R32" s="126"/>
      <c r="S32" s="294"/>
      <c r="T32" s="634"/>
      <c r="U32" s="635"/>
      <c r="V32" s="635"/>
      <c r="W32" s="635"/>
      <c r="X32" s="635"/>
      <c r="Y32" s="635"/>
      <c r="Z32" s="635"/>
      <c r="AA32" s="636"/>
      <c r="AB32" s="35">
        <f>IF(AB29="⑦","7",IF(AB29="⑥","6",AB29))</f>
        <v>0</v>
      </c>
      <c r="AC32" s="36"/>
      <c r="AD32" s="36"/>
      <c r="AE32" s="36"/>
      <c r="AF32" s="36"/>
      <c r="AG32" s="36"/>
      <c r="AH32" s="36"/>
      <c r="AI32" s="36"/>
      <c r="AJ32" s="35" t="str">
        <f>IF(AJ29="⑦","7",IF(AJ29="⑥","6",AJ29))</f>
        <v>②</v>
      </c>
      <c r="AK32" s="36"/>
      <c r="AL32" s="36"/>
      <c r="AM32" s="36"/>
      <c r="AN32" s="36"/>
      <c r="AO32" s="36"/>
      <c r="AP32" s="36"/>
      <c r="AQ32" s="37"/>
      <c r="AR32" s="488"/>
      <c r="AS32" s="475"/>
      <c r="AT32" s="475"/>
      <c r="AU32" s="475"/>
      <c r="AV32" s="454"/>
      <c r="AW32" s="454"/>
      <c r="AX32" s="454"/>
      <c r="AY32" s="455"/>
      <c r="AZ32" s="6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U32" s="24"/>
      <c r="BV32" s="30"/>
      <c r="BW32" s="18"/>
      <c r="BX32" s="18"/>
      <c r="BY32" s="18"/>
      <c r="BZ32" s="18"/>
      <c r="CA32" s="383"/>
      <c r="CB32" s="383"/>
      <c r="CC32" s="383"/>
      <c r="CD32" s="383"/>
      <c r="CE32" s="383"/>
      <c r="CF32" s="383"/>
      <c r="CG32" s="18"/>
      <c r="CH32" s="21"/>
      <c r="CI32" s="21"/>
      <c r="CJ32" s="21"/>
      <c r="CK32" s="22"/>
      <c r="CL32" s="595"/>
      <c r="CM32" s="590"/>
      <c r="CN32" s="590"/>
      <c r="CO32" s="18"/>
    </row>
    <row r="33" spans="1:105" ht="9" customHeight="1">
      <c r="A33" s="16"/>
      <c r="B33" s="593">
        <f>AV35</f>
        <v>1</v>
      </c>
      <c r="C33" s="529" t="s">
        <v>1699</v>
      </c>
      <c r="D33" s="350"/>
      <c r="E33" s="350"/>
      <c r="F33" s="645" t="str">
        <f>IF(C33="ここに","",VLOOKUP(C33,'登録ナンバー'!$A$1:$C$620,2,0))</f>
        <v>上津</v>
      </c>
      <c r="G33" s="350"/>
      <c r="H33" s="350"/>
      <c r="I33" s="350"/>
      <c r="J33" s="350"/>
      <c r="K33" s="559" t="s">
        <v>837</v>
      </c>
      <c r="L33" s="350" t="s">
        <v>1714</v>
      </c>
      <c r="M33" s="350"/>
      <c r="N33" s="350"/>
      <c r="O33" s="350" t="str">
        <f>IF(L33="ここに","",VLOOKUP(L33,'登録ナンバー'!$A$1:$C$620,2,0))</f>
        <v>草野</v>
      </c>
      <c r="P33" s="350"/>
      <c r="Q33" s="350"/>
      <c r="R33" s="350"/>
      <c r="S33" s="341"/>
      <c r="T33" s="344">
        <f>IF(AB29="","",IF(AND(AF29=6,AB29&lt;&gt;"⑦"),"⑥",IF(AF29=7,"⑦",AF29)))</f>
      </c>
      <c r="U33" s="424"/>
      <c r="V33" s="424"/>
      <c r="W33" s="424" t="s">
        <v>838</v>
      </c>
      <c r="X33" s="424">
        <f>IF(AB29="","",IF(AB29="⑥",6,IF(AB29="⑦",7,AB29)))</f>
      </c>
      <c r="Y33" s="424"/>
      <c r="Z33" s="424"/>
      <c r="AA33" s="425"/>
      <c r="AB33" s="601"/>
      <c r="AC33" s="602"/>
      <c r="AD33" s="602"/>
      <c r="AE33" s="602"/>
      <c r="AF33" s="602"/>
      <c r="AG33" s="602"/>
      <c r="AH33" s="602"/>
      <c r="AI33" s="602"/>
      <c r="AJ33" s="436" t="s">
        <v>842</v>
      </c>
      <c r="AK33" s="351"/>
      <c r="AL33" s="351"/>
      <c r="AM33" s="351" t="s">
        <v>838</v>
      </c>
      <c r="AN33" s="351"/>
      <c r="AO33" s="351"/>
      <c r="AP33" s="351"/>
      <c r="AQ33" s="625"/>
      <c r="AR33" s="450">
        <f>IF(COUNTIF(AS29:AU39,1)=2,"直接対決","")</f>
      </c>
      <c r="AS33" s="497">
        <f>COUNTIF(T33:AQ34,"⑥")+COUNTIF(T33:AQ34,"⑦")</f>
        <v>0</v>
      </c>
      <c r="AT33" s="497"/>
      <c r="AU33" s="497"/>
      <c r="AV33" s="456">
        <f>IF(AB29="","",2-AS33)</f>
      </c>
      <c r="AW33" s="456"/>
      <c r="AX33" s="456"/>
      <c r="AY33" s="457"/>
      <c r="AZ33" s="73"/>
      <c r="BA33" s="649"/>
      <c r="BB33" s="60"/>
      <c r="BC33" s="60"/>
      <c r="BD33" s="60"/>
      <c r="BE33" s="2"/>
      <c r="BF33" s="2"/>
      <c r="BG33" s="2"/>
      <c r="BH33" s="2"/>
      <c r="BI33" s="2"/>
      <c r="BJ33" s="2"/>
      <c r="BK33" s="295"/>
      <c r="BL33" s="295"/>
      <c r="BM33" s="295"/>
      <c r="BN33" s="295"/>
      <c r="BO33" s="295"/>
      <c r="BP33" s="295"/>
      <c r="BQ33" s="295"/>
      <c r="BR33" s="295"/>
      <c r="BS33" s="18"/>
      <c r="BU33" s="24"/>
      <c r="BV33" s="344"/>
      <c r="BW33" s="424"/>
      <c r="BX33" s="424"/>
      <c r="BY33" s="425"/>
      <c r="BZ33" s="23"/>
      <c r="CC33" s="9"/>
      <c r="CG33" s="24"/>
      <c r="CH33" s="426"/>
      <c r="CI33" s="426"/>
      <c r="CJ33" s="426"/>
      <c r="CK33" s="427"/>
      <c r="CL33" s="595"/>
      <c r="CM33" s="590"/>
      <c r="CN33" s="590"/>
      <c r="CO33" s="18"/>
      <c r="CP33" s="2"/>
      <c r="CY33" s="2"/>
      <c r="CZ33" s="2"/>
      <c r="DA33" s="2"/>
    </row>
    <row r="34" spans="1:111" ht="9" customHeight="1">
      <c r="A34" s="16"/>
      <c r="B34" s="593"/>
      <c r="C34" s="530"/>
      <c r="D34" s="342"/>
      <c r="E34" s="342"/>
      <c r="F34" s="638"/>
      <c r="G34" s="342"/>
      <c r="H34" s="342"/>
      <c r="I34" s="342"/>
      <c r="J34" s="342"/>
      <c r="K34" s="559"/>
      <c r="L34" s="342"/>
      <c r="M34" s="342"/>
      <c r="N34" s="342"/>
      <c r="O34" s="342"/>
      <c r="P34" s="342"/>
      <c r="Q34" s="342"/>
      <c r="R34" s="342"/>
      <c r="S34" s="343"/>
      <c r="T34" s="345"/>
      <c r="U34" s="426"/>
      <c r="V34" s="426"/>
      <c r="W34" s="426"/>
      <c r="X34" s="426"/>
      <c r="Y34" s="426"/>
      <c r="Z34" s="426"/>
      <c r="AA34" s="427"/>
      <c r="AB34" s="604"/>
      <c r="AC34" s="605"/>
      <c r="AD34" s="605"/>
      <c r="AE34" s="605"/>
      <c r="AF34" s="605"/>
      <c r="AG34" s="605"/>
      <c r="AH34" s="605"/>
      <c r="AI34" s="605"/>
      <c r="AJ34" s="437"/>
      <c r="AK34" s="348"/>
      <c r="AL34" s="348"/>
      <c r="AM34" s="348"/>
      <c r="AN34" s="348"/>
      <c r="AO34" s="348"/>
      <c r="AP34" s="348"/>
      <c r="AQ34" s="626"/>
      <c r="AR34" s="451"/>
      <c r="AS34" s="498"/>
      <c r="AT34" s="498"/>
      <c r="AU34" s="498"/>
      <c r="AV34" s="458"/>
      <c r="AW34" s="458"/>
      <c r="AX34" s="458"/>
      <c r="AY34" s="459"/>
      <c r="AZ34" s="73"/>
      <c r="BA34" s="426"/>
      <c r="BB34" s="2"/>
      <c r="BC34" s="2"/>
      <c r="BD34" s="2"/>
      <c r="BE34" s="426" t="s">
        <v>855</v>
      </c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S34" s="40"/>
      <c r="BT34" s="17"/>
      <c r="BU34" s="28"/>
      <c r="BV34" s="345"/>
      <c r="BW34" s="426"/>
      <c r="BX34" s="426"/>
      <c r="BY34" s="427"/>
      <c r="CA34" s="426"/>
      <c r="CB34" s="426"/>
      <c r="CC34" s="426"/>
      <c r="CD34" s="426"/>
      <c r="CE34" s="426"/>
      <c r="CF34" s="426"/>
      <c r="CG34" s="24"/>
      <c r="CH34" s="426"/>
      <c r="CI34" s="426"/>
      <c r="CJ34" s="426"/>
      <c r="CK34" s="427"/>
      <c r="CL34" s="652"/>
      <c r="CM34" s="643"/>
      <c r="CN34" s="643"/>
      <c r="CO34" s="11"/>
      <c r="CP34" s="426" t="str">
        <f>IF($AB$86="","リーグ５",VLOOKUP(1,$B$86:$S$95,5,FALSE))</f>
        <v>リーグ５</v>
      </c>
      <c r="CQ34" s="426"/>
      <c r="CR34" s="426"/>
      <c r="CS34" s="426"/>
      <c r="CT34" s="426"/>
      <c r="CU34" s="426"/>
      <c r="CV34" s="426"/>
      <c r="CW34" s="426"/>
      <c r="CX34" s="426">
        <f>IF($AB$86="","",VLOOKUP(1,$B$86:$S$95,14,FALSE))</f>
      </c>
      <c r="CY34" s="426"/>
      <c r="CZ34" s="426" t="str">
        <f>IF($AB$86="","リーグ５",VLOOKUP(1,$B$86:$S$95,5,FALSE))</f>
        <v>リーグ５</v>
      </c>
      <c r="DA34" s="426"/>
      <c r="DB34" s="426" t="str">
        <f>IF($AB$86="","リーグ５",VLOOKUP(1,$B$86:$S$95,5,FALSE))</f>
        <v>リーグ５</v>
      </c>
      <c r="DC34" s="426"/>
      <c r="DE34" s="2"/>
      <c r="DF34" s="2"/>
      <c r="DG34" s="2"/>
    </row>
    <row r="35" spans="1:108" ht="13.5" customHeight="1">
      <c r="A35" s="16"/>
      <c r="B35" s="16"/>
      <c r="C35" s="530" t="s">
        <v>841</v>
      </c>
      <c r="D35" s="342"/>
      <c r="E35" s="342"/>
      <c r="F35" s="638" t="str">
        <f>IF(C33="ここに","",VLOOKUP(C33,'登録ナンバー'!$A$1:$D$620,4,0))</f>
        <v>TDC</v>
      </c>
      <c r="G35" s="342"/>
      <c r="H35" s="342"/>
      <c r="I35" s="342"/>
      <c r="J35" s="342"/>
      <c r="K35" s="125"/>
      <c r="L35" s="559" t="s">
        <v>841</v>
      </c>
      <c r="M35" s="559"/>
      <c r="N35" s="559"/>
      <c r="O35" s="342" t="str">
        <f>IF(L33="ここに","",VLOOKUP(L33,'登録ナンバー'!$A$1:$D$620,4,0))</f>
        <v>TDC</v>
      </c>
      <c r="P35" s="342"/>
      <c r="Q35" s="342"/>
      <c r="R35" s="342"/>
      <c r="S35" s="637"/>
      <c r="T35" s="426"/>
      <c r="U35" s="426"/>
      <c r="V35" s="426"/>
      <c r="W35" s="426"/>
      <c r="X35" s="426"/>
      <c r="Y35" s="426"/>
      <c r="Z35" s="426"/>
      <c r="AA35" s="427"/>
      <c r="AB35" s="604"/>
      <c r="AC35" s="605"/>
      <c r="AD35" s="605"/>
      <c r="AE35" s="605"/>
      <c r="AF35" s="605"/>
      <c r="AG35" s="605"/>
      <c r="AH35" s="605"/>
      <c r="AI35" s="605"/>
      <c r="AJ35" s="437"/>
      <c r="AK35" s="348"/>
      <c r="AL35" s="348"/>
      <c r="AM35" s="348"/>
      <c r="AN35" s="435"/>
      <c r="AO35" s="435"/>
      <c r="AP35" s="435"/>
      <c r="AQ35" s="627"/>
      <c r="AR35" s="487">
        <f>IF(OR(COUNTIF(AS29:AU41,2)=3,COUNTIF(AS29:AU41,1)=3),(T36+AJ36)/(T36+AJ36+X33+AN33),"")</f>
      </c>
      <c r="AS35" s="426"/>
      <c r="AT35" s="426"/>
      <c r="AU35" s="426"/>
      <c r="AV35" s="452">
        <f>IF(AR35&lt;&gt;"",RANK(AR35,AR31:AR44),RANK(AS33,AS29:AU42))</f>
        <v>1</v>
      </c>
      <c r="AW35" s="452"/>
      <c r="AX35" s="452"/>
      <c r="AY35" s="453"/>
      <c r="AZ35" s="62"/>
      <c r="BA35" s="15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S35" s="48"/>
      <c r="BT35" s="48"/>
      <c r="BU35" s="48"/>
      <c r="BY35" s="24"/>
      <c r="CA35" s="426"/>
      <c r="CB35" s="426"/>
      <c r="CC35" s="426"/>
      <c r="CD35" s="426"/>
      <c r="CE35" s="426"/>
      <c r="CF35" s="426"/>
      <c r="CG35" s="24"/>
      <c r="CL35" s="18"/>
      <c r="CM35" s="18"/>
      <c r="CN35" s="18"/>
      <c r="CO35" s="18"/>
      <c r="CP35" s="426"/>
      <c r="CQ35" s="426"/>
      <c r="CR35" s="426"/>
      <c r="CS35" s="426"/>
      <c r="CT35" s="426"/>
      <c r="CU35" s="426"/>
      <c r="CV35" s="426"/>
      <c r="CW35" s="426"/>
      <c r="CX35" s="426"/>
      <c r="CY35" s="426"/>
      <c r="CZ35" s="426"/>
      <c r="DA35" s="426"/>
      <c r="DB35" s="426"/>
      <c r="DC35" s="426"/>
      <c r="DD35" s="2"/>
    </row>
    <row r="36" spans="1:102" ht="6" customHeight="1" hidden="1">
      <c r="A36" s="16"/>
      <c r="B36" s="16"/>
      <c r="C36" s="531"/>
      <c r="D36" s="532"/>
      <c r="E36" s="532"/>
      <c r="F36" s="292"/>
      <c r="G36" s="134"/>
      <c r="H36" s="134"/>
      <c r="I36" s="134"/>
      <c r="J36" s="134"/>
      <c r="K36" s="125"/>
      <c r="L36" s="532"/>
      <c r="M36" s="532"/>
      <c r="N36" s="532"/>
      <c r="O36" s="125"/>
      <c r="P36" s="125"/>
      <c r="Q36" s="125"/>
      <c r="R36" s="126"/>
      <c r="S36" s="294"/>
      <c r="T36" s="35">
        <f>IF(T33="⑦","7",IF(T33="⑥","6",T33))</f>
      </c>
      <c r="U36" s="11"/>
      <c r="V36" s="11"/>
      <c r="W36" s="11"/>
      <c r="X36" s="11"/>
      <c r="Y36" s="11"/>
      <c r="Z36" s="11"/>
      <c r="AA36" s="39"/>
      <c r="AB36" s="607"/>
      <c r="AC36" s="608"/>
      <c r="AD36" s="608"/>
      <c r="AE36" s="608"/>
      <c r="AF36" s="608"/>
      <c r="AG36" s="608"/>
      <c r="AH36" s="608"/>
      <c r="AI36" s="608"/>
      <c r="AJ36" s="35" t="str">
        <f>IF(AJ33="⑦","7",IF(AJ33="⑥","6",AJ33))</f>
        <v>①</v>
      </c>
      <c r="AK36" s="36"/>
      <c r="AL36" s="36"/>
      <c r="AM36" s="36"/>
      <c r="AN36" s="36"/>
      <c r="AO36" s="36"/>
      <c r="AP36" s="36"/>
      <c r="AQ36" s="37"/>
      <c r="AR36" s="488"/>
      <c r="AS36" s="499"/>
      <c r="AT36" s="499"/>
      <c r="AU36" s="499"/>
      <c r="AV36" s="454"/>
      <c r="AW36" s="454"/>
      <c r="AX36" s="454"/>
      <c r="AY36" s="455"/>
      <c r="AZ36" s="62"/>
      <c r="BA36" s="15"/>
      <c r="BE36" s="2"/>
      <c r="BF36" s="2"/>
      <c r="BG36" s="2"/>
      <c r="BH36" s="2"/>
      <c r="BI36" s="2"/>
      <c r="BJ36" s="2"/>
      <c r="BK36" s="295"/>
      <c r="BL36" s="295"/>
      <c r="BM36" s="295"/>
      <c r="BN36" s="295"/>
      <c r="BO36" s="295"/>
      <c r="BP36" s="295"/>
      <c r="BQ36" s="295"/>
      <c r="BX36" s="426"/>
      <c r="BY36" s="427"/>
      <c r="BZ36" s="8"/>
      <c r="CA36" s="11"/>
      <c r="CB36" s="11"/>
      <c r="CC36" s="41"/>
      <c r="CD36" s="42"/>
      <c r="CE36" s="11"/>
      <c r="CF36" s="11"/>
      <c r="CG36" s="43"/>
      <c r="CH36" s="426"/>
      <c r="CI36" s="426"/>
      <c r="CJ36" s="2"/>
      <c r="CL36" s="18"/>
      <c r="CM36" s="18"/>
      <c r="CN36" s="18"/>
      <c r="CO36" s="18"/>
      <c r="CP36" s="2"/>
      <c r="CX36" s="2"/>
    </row>
    <row r="37" spans="1:94" ht="9" customHeight="1">
      <c r="A37" s="16"/>
      <c r="B37" s="593">
        <f>AV39</f>
        <v>1</v>
      </c>
      <c r="C37" s="529" t="s">
        <v>1703</v>
      </c>
      <c r="D37" s="350"/>
      <c r="E37" s="350"/>
      <c r="F37" s="645" t="str">
        <f>IF(C37="ここに","",VLOOKUP(C37,'登録ナンバー'!$A$1:$C$620,2,0))</f>
        <v>山口</v>
      </c>
      <c r="G37" s="350"/>
      <c r="H37" s="350"/>
      <c r="I37" s="350"/>
      <c r="J37" s="350"/>
      <c r="K37" s="559" t="s">
        <v>837</v>
      </c>
      <c r="L37" s="350" t="s">
        <v>1715</v>
      </c>
      <c r="M37" s="350"/>
      <c r="N37" s="350"/>
      <c r="O37" s="350" t="str">
        <f>IF(L37="ここに","",VLOOKUP(L37,'登録ナンバー'!$A$1:$C$620,2,0))</f>
        <v>辻 </v>
      </c>
      <c r="P37" s="350"/>
      <c r="Q37" s="350"/>
      <c r="R37" s="350"/>
      <c r="S37" s="341"/>
      <c r="T37" s="344">
        <f>IF(AN29="","",IF(AND(AN29=6,AJ29&lt;&gt;"⑦"),"⑥",IF(AN29=7,"⑦",AN29)))</f>
      </c>
      <c r="U37" s="424"/>
      <c r="V37" s="424"/>
      <c r="W37" s="424" t="s">
        <v>838</v>
      </c>
      <c r="X37" s="424">
        <f>IF(AN29="","",IF(AJ29="⑥",6,IF(AJ29="⑦",7,AJ29)))</f>
      </c>
      <c r="Y37" s="424"/>
      <c r="Z37" s="424"/>
      <c r="AA37" s="425"/>
      <c r="AB37" s="344">
        <f>IF(AN33="","",IF(AND(AN33=6,AJ33&lt;&gt;"⑦"),"⑥",IF(AN33=7,"⑦",AN33)))</f>
      </c>
      <c r="AC37" s="424"/>
      <c r="AD37" s="424"/>
      <c r="AE37" s="424" t="s">
        <v>838</v>
      </c>
      <c r="AF37" s="424">
        <f>IF(AN33="","",IF(AJ33="⑥",6,IF(AJ33="⑦",7,AJ33)))</f>
      </c>
      <c r="AG37" s="424"/>
      <c r="AH37" s="424"/>
      <c r="AI37" s="425"/>
      <c r="AJ37" s="476"/>
      <c r="AK37" s="477"/>
      <c r="AL37" s="477"/>
      <c r="AM37" s="477"/>
      <c r="AN37" s="477"/>
      <c r="AO37" s="477"/>
      <c r="AP37" s="480"/>
      <c r="AQ37" s="481"/>
      <c r="AR37" s="450">
        <f>IF(COUNTIF(AS29:AU39,1)=2,"直接対決","")</f>
      </c>
      <c r="AS37" s="497">
        <f>COUNTIF(T37:AQ38,"⑥")+COUNTIF(T37:AQ38,"⑦")</f>
        <v>0</v>
      </c>
      <c r="AT37" s="497"/>
      <c r="AU37" s="497"/>
      <c r="AV37" s="456">
        <f>IF(AB29="","",2-AS37)</f>
      </c>
      <c r="AW37" s="456"/>
      <c r="AX37" s="456"/>
      <c r="AY37" s="457"/>
      <c r="AZ37" s="73"/>
      <c r="BA37" s="649"/>
      <c r="BB37" s="60"/>
      <c r="BC37" s="60"/>
      <c r="BD37" s="60"/>
      <c r="BK37" s="295"/>
      <c r="BL37" s="295"/>
      <c r="BM37" s="295"/>
      <c r="BN37" s="295"/>
      <c r="BO37" s="295"/>
      <c r="BP37" s="295"/>
      <c r="BQ37" s="295"/>
      <c r="BR37" s="295"/>
      <c r="BS37" s="18"/>
      <c r="BT37" s="18"/>
      <c r="BU37" s="18"/>
      <c r="BX37" s="426"/>
      <c r="BY37" s="427"/>
      <c r="BZ37" s="426"/>
      <c r="CA37" s="426"/>
      <c r="CB37" s="426"/>
      <c r="CC37" s="426"/>
      <c r="CD37" s="426"/>
      <c r="CE37" s="426"/>
      <c r="CF37" s="426"/>
      <c r="CG37" s="427"/>
      <c r="CH37" s="426"/>
      <c r="CI37" s="426"/>
      <c r="CJ37" s="2"/>
      <c r="CL37" s="18"/>
      <c r="CM37" s="18"/>
      <c r="CN37" s="18"/>
      <c r="CO37" s="18"/>
      <c r="CP37" s="2"/>
    </row>
    <row r="38" spans="1:102" ht="9" customHeight="1">
      <c r="A38" s="16"/>
      <c r="B38" s="593"/>
      <c r="C38" s="530"/>
      <c r="D38" s="342"/>
      <c r="E38" s="342"/>
      <c r="F38" s="638"/>
      <c r="G38" s="342"/>
      <c r="H38" s="342"/>
      <c r="I38" s="342"/>
      <c r="J38" s="342"/>
      <c r="K38" s="559"/>
      <c r="L38" s="342"/>
      <c r="M38" s="342"/>
      <c r="N38" s="342"/>
      <c r="O38" s="342"/>
      <c r="P38" s="342"/>
      <c r="Q38" s="342"/>
      <c r="R38" s="342"/>
      <c r="S38" s="343"/>
      <c r="T38" s="345"/>
      <c r="U38" s="426"/>
      <c r="V38" s="426"/>
      <c r="W38" s="426"/>
      <c r="X38" s="426"/>
      <c r="Y38" s="426"/>
      <c r="Z38" s="426"/>
      <c r="AA38" s="427"/>
      <c r="AB38" s="345"/>
      <c r="AC38" s="426"/>
      <c r="AD38" s="426"/>
      <c r="AE38" s="426"/>
      <c r="AF38" s="426"/>
      <c r="AG38" s="426"/>
      <c r="AH38" s="426"/>
      <c r="AI38" s="427"/>
      <c r="AJ38" s="479"/>
      <c r="AK38" s="480"/>
      <c r="AL38" s="480"/>
      <c r="AM38" s="480"/>
      <c r="AN38" s="480"/>
      <c r="AO38" s="480"/>
      <c r="AP38" s="480"/>
      <c r="AQ38" s="481"/>
      <c r="AR38" s="451"/>
      <c r="AS38" s="498"/>
      <c r="AT38" s="498"/>
      <c r="AU38" s="498"/>
      <c r="AV38" s="458"/>
      <c r="AW38" s="458"/>
      <c r="AX38" s="458"/>
      <c r="AY38" s="459"/>
      <c r="AZ38" s="73"/>
      <c r="BA38" s="426"/>
      <c r="BB38" s="2"/>
      <c r="BC38" s="2"/>
      <c r="BD38" s="2"/>
      <c r="BE38" s="426" t="str">
        <f>IF($AB$29="","リーグ2",VLOOKUP(1,$B$29:$S$40,5,FALSE))</f>
        <v>リーグ2</v>
      </c>
      <c r="BF38" s="426"/>
      <c r="BG38" s="426"/>
      <c r="BH38" s="426"/>
      <c r="BI38" s="426"/>
      <c r="BJ38" s="426"/>
      <c r="BK38" s="426"/>
      <c r="BL38" s="426">
        <f>IF($AB$29="","",VLOOKUP(1,$B$29:$S$40,14,FALSE))</f>
      </c>
      <c r="BM38" s="426"/>
      <c r="BN38" s="426"/>
      <c r="BO38" s="426"/>
      <c r="BP38" s="426"/>
      <c r="BQ38" s="426"/>
      <c r="BR38" s="426"/>
      <c r="BS38" s="40"/>
      <c r="BT38" s="17"/>
      <c r="BU38" s="17"/>
      <c r="BY38" s="24"/>
      <c r="BZ38" s="426"/>
      <c r="CA38" s="426"/>
      <c r="CB38" s="426"/>
      <c r="CC38" s="426"/>
      <c r="CD38" s="426"/>
      <c r="CE38" s="426"/>
      <c r="CF38" s="426"/>
      <c r="CG38" s="427"/>
      <c r="CL38" s="17"/>
      <c r="CM38" s="17"/>
      <c r="CN38" s="17"/>
      <c r="CO38" s="11"/>
      <c r="CP38" s="426" t="s">
        <v>855</v>
      </c>
      <c r="CQ38" s="426"/>
      <c r="CR38" s="426"/>
      <c r="CS38" s="426"/>
      <c r="CT38" s="426"/>
      <c r="CU38" s="426"/>
      <c r="CV38" s="426"/>
      <c r="CW38" s="426"/>
      <c r="CX38" s="426"/>
    </row>
    <row r="39" spans="1:102" ht="14.25" customHeight="1" thickBot="1">
      <c r="A39" s="16"/>
      <c r="B39" s="16"/>
      <c r="C39" s="530" t="s">
        <v>841</v>
      </c>
      <c r="D39" s="342"/>
      <c r="E39" s="342"/>
      <c r="F39" s="638" t="str">
        <f>IF(C37="ここに","",VLOOKUP(C37,'登録ナンバー'!$A$1:$D$620,4,0))</f>
        <v>Mut</v>
      </c>
      <c r="G39" s="342"/>
      <c r="H39" s="342"/>
      <c r="I39" s="342"/>
      <c r="J39" s="342"/>
      <c r="K39" s="125"/>
      <c r="L39" s="559" t="s">
        <v>841</v>
      </c>
      <c r="M39" s="559"/>
      <c r="N39" s="559"/>
      <c r="O39" s="342" t="str">
        <f>IF(L37="ここに","",VLOOKUP(L37,'登録ナンバー'!$A$1:$D$620,4,0))</f>
        <v>Mut</v>
      </c>
      <c r="P39" s="342"/>
      <c r="Q39" s="342"/>
      <c r="R39" s="342"/>
      <c r="S39" s="637"/>
      <c r="T39" s="426"/>
      <c r="U39" s="426"/>
      <c r="V39" s="426"/>
      <c r="W39" s="426"/>
      <c r="X39" s="499"/>
      <c r="Y39" s="499"/>
      <c r="Z39" s="499"/>
      <c r="AA39" s="538"/>
      <c r="AB39" s="345"/>
      <c r="AC39" s="426"/>
      <c r="AD39" s="426"/>
      <c r="AE39" s="426"/>
      <c r="AF39" s="426"/>
      <c r="AG39" s="426"/>
      <c r="AH39" s="426"/>
      <c r="AI39" s="427"/>
      <c r="AJ39" s="479"/>
      <c r="AK39" s="480"/>
      <c r="AL39" s="480"/>
      <c r="AM39" s="480"/>
      <c r="AN39" s="480"/>
      <c r="AO39" s="480"/>
      <c r="AP39" s="480"/>
      <c r="AQ39" s="481"/>
      <c r="AR39" s="487">
        <f>IF(OR(COUNTIF(AS29:AU41,2)=3,COUNTIF(AS29:AU41,1)=3),(AB40+T40)/(T40+AF37+X37+AB40),"")</f>
      </c>
      <c r="AS39" s="474"/>
      <c r="AT39" s="474"/>
      <c r="AU39" s="474"/>
      <c r="AV39" s="452">
        <f>IF(AR39&lt;&gt;"",RANK(AR39,AR31:AR44),RANK(AS37,AS29:AU42))</f>
        <v>1</v>
      </c>
      <c r="AW39" s="452"/>
      <c r="AX39" s="452"/>
      <c r="AY39" s="453"/>
      <c r="AZ39" s="62"/>
      <c r="BA39" s="15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639" t="s">
        <v>1309</v>
      </c>
      <c r="BT39" s="640"/>
      <c r="BU39" s="641"/>
      <c r="BV39" s="70"/>
      <c r="BW39" s="11"/>
      <c r="BX39" s="11"/>
      <c r="BY39" s="39"/>
      <c r="CG39" s="24"/>
      <c r="CH39" s="70"/>
      <c r="CI39" s="11"/>
      <c r="CJ39" s="11"/>
      <c r="CK39" s="39"/>
      <c r="CL39" s="18"/>
      <c r="CM39" s="18"/>
      <c r="CN39" s="18"/>
      <c r="CP39" s="426"/>
      <c r="CQ39" s="426"/>
      <c r="CR39" s="426"/>
      <c r="CS39" s="426"/>
      <c r="CT39" s="426"/>
      <c r="CU39" s="426"/>
      <c r="CV39" s="426"/>
      <c r="CW39" s="426"/>
      <c r="CX39" s="426"/>
    </row>
    <row r="40" spans="2:113" ht="5.25" customHeight="1" hidden="1">
      <c r="B40" s="16"/>
      <c r="C40" s="531"/>
      <c r="D40" s="532"/>
      <c r="E40" s="532"/>
      <c r="F40" s="125"/>
      <c r="G40" s="125"/>
      <c r="H40" s="125"/>
      <c r="I40" s="125"/>
      <c r="J40" s="125"/>
      <c r="K40" s="125"/>
      <c r="L40" s="532"/>
      <c r="M40" s="532"/>
      <c r="N40" s="532"/>
      <c r="O40" s="125"/>
      <c r="P40" s="125"/>
      <c r="Q40" s="125"/>
      <c r="R40" s="126"/>
      <c r="S40" s="294"/>
      <c r="T40" s="56">
        <f>IF(T37="⑦","7",IF(T37="⑥","6",T37))</f>
      </c>
      <c r="AA40" s="24"/>
      <c r="AB40" s="56">
        <f>IF(AB37="⑦","7",IF(AB37="⑥","6",AB37))</f>
      </c>
      <c r="AJ40" s="482"/>
      <c r="AK40" s="483"/>
      <c r="AL40" s="483"/>
      <c r="AM40" s="483"/>
      <c r="AN40" s="483"/>
      <c r="AO40" s="483"/>
      <c r="AP40" s="483"/>
      <c r="AQ40" s="484"/>
      <c r="AR40" s="487"/>
      <c r="AS40" s="474"/>
      <c r="AT40" s="474"/>
      <c r="AU40" s="474"/>
      <c r="AV40" s="452"/>
      <c r="AW40" s="452"/>
      <c r="AX40" s="452"/>
      <c r="AY40" s="453"/>
      <c r="AZ40" s="62"/>
      <c r="BA40" s="15"/>
      <c r="BK40" s="295"/>
      <c r="BL40" s="295"/>
      <c r="BM40" s="295"/>
      <c r="BN40" s="295"/>
      <c r="BO40" s="295"/>
      <c r="BP40" s="295"/>
      <c r="BQ40" s="295"/>
      <c r="BR40" s="295"/>
      <c r="BS40" s="590"/>
      <c r="BT40" s="590"/>
      <c r="BU40" s="642"/>
      <c r="BV40" s="8"/>
      <c r="BW40" s="8"/>
      <c r="BX40" s="8"/>
      <c r="BY40" s="43"/>
      <c r="CA40" s="2"/>
      <c r="CB40" s="2"/>
      <c r="CC40" s="2"/>
      <c r="CD40" s="2"/>
      <c r="CE40" s="2"/>
      <c r="CF40" s="2"/>
      <c r="CG40" s="24"/>
      <c r="CH40" s="8"/>
      <c r="CI40" s="8"/>
      <c r="CJ40" s="8"/>
      <c r="CK40" s="43"/>
      <c r="CL40" s="590"/>
      <c r="CM40" s="590"/>
      <c r="CN40" s="18"/>
      <c r="CO40" s="18"/>
      <c r="CP40" s="426"/>
      <c r="CQ40" s="426"/>
      <c r="CR40" s="426"/>
      <c r="CS40" s="426"/>
      <c r="CT40" s="426"/>
      <c r="CU40" s="426"/>
      <c r="CV40" s="426"/>
      <c r="CW40" s="426"/>
      <c r="CX40" s="426"/>
      <c r="DI40" s="3" t="s">
        <v>844</v>
      </c>
    </row>
    <row r="41" spans="3:102" ht="9" customHeight="1">
      <c r="C41" s="4"/>
      <c r="D41" s="4"/>
      <c r="E41" s="4"/>
      <c r="F41" s="4"/>
      <c r="G41" s="4"/>
      <c r="H41" s="4"/>
      <c r="I41" s="4"/>
      <c r="J41" s="4"/>
      <c r="K41" s="64"/>
      <c r="L41" s="55"/>
      <c r="M41" s="55"/>
      <c r="N41" s="55"/>
      <c r="O41" s="55"/>
      <c r="P41" s="55"/>
      <c r="Q41" s="55"/>
      <c r="R41" s="55"/>
      <c r="S41" s="64"/>
      <c r="T41" s="55"/>
      <c r="U41" s="55"/>
      <c r="V41" s="55"/>
      <c r="W41" s="55"/>
      <c r="X41" s="55"/>
      <c r="Y41" s="55"/>
      <c r="Z41" s="55"/>
      <c r="AA41" s="4"/>
      <c r="AB41" s="4"/>
      <c r="AC41" s="4"/>
      <c r="AD41" s="4"/>
      <c r="AE41" s="4"/>
      <c r="AF41" s="4"/>
      <c r="AG41" s="4"/>
      <c r="AH41" s="4"/>
      <c r="AI41" s="65"/>
      <c r="AJ41" s="65"/>
      <c r="AK41" s="65"/>
      <c r="AL41" s="65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62"/>
      <c r="BS41" s="590"/>
      <c r="BT41" s="590"/>
      <c r="BU41" s="642"/>
      <c r="BV41" s="426"/>
      <c r="BW41" s="426"/>
      <c r="BX41" s="426"/>
      <c r="BY41" s="426"/>
      <c r="BZ41" s="426"/>
      <c r="CA41" s="2"/>
      <c r="CB41" s="2"/>
      <c r="CC41" s="2"/>
      <c r="CD41" s="2"/>
      <c r="CE41" s="2"/>
      <c r="CF41" s="2"/>
      <c r="CG41" s="18"/>
      <c r="CH41" s="426"/>
      <c r="CI41" s="426"/>
      <c r="CJ41" s="426"/>
      <c r="CK41" s="427"/>
      <c r="CL41" s="590"/>
      <c r="CM41" s="590"/>
      <c r="CN41" s="18"/>
      <c r="CO41" s="18"/>
      <c r="CP41" s="426"/>
      <c r="CQ41" s="426"/>
      <c r="CR41" s="426"/>
      <c r="CS41" s="426"/>
      <c r="CT41" s="426"/>
      <c r="CU41" s="426"/>
      <c r="CV41" s="426"/>
      <c r="CW41" s="426"/>
      <c r="CX41" s="426"/>
    </row>
    <row r="42" spans="3:107" ht="9" customHeight="1">
      <c r="C42" s="426" t="s">
        <v>5</v>
      </c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2"/>
      <c r="AZ42" s="2"/>
      <c r="BE42" s="426" t="str">
        <f>IF($AB$48="","リーグ3",VLOOKUP(1,$B$48:$S$59,5,FALSE))</f>
        <v>リーグ3</v>
      </c>
      <c r="BF42" s="426"/>
      <c r="BG42" s="426"/>
      <c r="BH42" s="426"/>
      <c r="BI42" s="426"/>
      <c r="BJ42" s="426"/>
      <c r="BK42" s="426"/>
      <c r="BL42" s="426">
        <f>IF($AB$48="","",VLOOKUP(1,$B$48:$S$59,14,FALSE))</f>
      </c>
      <c r="BM42" s="426"/>
      <c r="BN42" s="426"/>
      <c r="BO42" s="426"/>
      <c r="BP42" s="426"/>
      <c r="BQ42" s="426"/>
      <c r="BR42" s="426"/>
      <c r="BS42" s="643"/>
      <c r="BT42" s="643"/>
      <c r="BU42" s="644"/>
      <c r="BV42" s="426"/>
      <c r="BW42" s="426"/>
      <c r="BX42" s="426"/>
      <c r="BY42" s="426"/>
      <c r="BZ42" s="426"/>
      <c r="CA42" s="18"/>
      <c r="CB42" s="18"/>
      <c r="CC42" s="18"/>
      <c r="CD42" s="18"/>
      <c r="CE42" s="18"/>
      <c r="CF42" s="18"/>
      <c r="CG42" s="18"/>
      <c r="CH42" s="426"/>
      <c r="CI42" s="426"/>
      <c r="CJ42" s="426"/>
      <c r="CK42" s="427"/>
      <c r="CL42" s="25"/>
      <c r="CM42" s="17"/>
      <c r="CN42" s="17"/>
      <c r="CO42" s="17"/>
      <c r="CP42" s="426" t="str">
        <f>IF($CA$10="","リーグ6",VLOOKUP(1,$BA$10:$BR$24,5,FALSE))</f>
        <v>リーグ6</v>
      </c>
      <c r="CQ42" s="426"/>
      <c r="CR42" s="426"/>
      <c r="CS42" s="426"/>
      <c r="CT42" s="426"/>
      <c r="CU42" s="426"/>
      <c r="CV42" s="426"/>
      <c r="CW42" s="426"/>
      <c r="CX42" s="426">
        <f>IF($CA$10="","",VLOOKUP(1,$BA$10:$BR$24,14,FALSE))</f>
      </c>
      <c r="CY42" s="426"/>
      <c r="CZ42" s="426" t="str">
        <f>IF($CA$10="","リーグ6",VLOOKUP(1,$BA$10:$BR$24,5,FALSE))</f>
        <v>リーグ6</v>
      </c>
      <c r="DA42" s="426"/>
      <c r="DB42" s="426" t="str">
        <f>IF($CA$10="","リーグ6",VLOOKUP(1,$BA$10:$BR$24,5,FALSE))</f>
        <v>リーグ6</v>
      </c>
      <c r="DC42" s="426"/>
    </row>
    <row r="43" spans="3:107" ht="9" customHeight="1" thickBot="1"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2"/>
      <c r="AZ43" s="2"/>
      <c r="BA43" s="2"/>
      <c r="BB43" s="2"/>
      <c r="BC43" s="2"/>
      <c r="BD43" s="2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18"/>
      <c r="BT43" s="18"/>
      <c r="BU43" s="18"/>
      <c r="CP43" s="426"/>
      <c r="CQ43" s="426"/>
      <c r="CR43" s="426"/>
      <c r="CS43" s="426"/>
      <c r="CT43" s="426"/>
      <c r="CU43" s="426"/>
      <c r="CV43" s="426"/>
      <c r="CW43" s="426"/>
      <c r="CX43" s="426"/>
      <c r="CY43" s="426"/>
      <c r="CZ43" s="426"/>
      <c r="DA43" s="426"/>
      <c r="DB43" s="426"/>
      <c r="DC43" s="426"/>
    </row>
    <row r="44" spans="1:107" ht="9" customHeight="1">
      <c r="A44" s="16"/>
      <c r="C44" s="517" t="s">
        <v>851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68"/>
      <c r="T44" s="517" t="str">
        <f>F48</f>
        <v>辰巳</v>
      </c>
      <c r="U44" s="518"/>
      <c r="V44" s="518"/>
      <c r="W44" s="518"/>
      <c r="X44" s="518"/>
      <c r="Y44" s="518"/>
      <c r="Z44" s="518"/>
      <c r="AA44" s="568"/>
      <c r="AB44" s="345" t="str">
        <f>F52</f>
        <v>福島</v>
      </c>
      <c r="AC44" s="426"/>
      <c r="AD44" s="426"/>
      <c r="AE44" s="426"/>
      <c r="AF44" s="426"/>
      <c r="AG44" s="426"/>
      <c r="AH44" s="426"/>
      <c r="AI44" s="426"/>
      <c r="AJ44" s="345" t="str">
        <f>F56</f>
        <v>田内</v>
      </c>
      <c r="AK44" s="426"/>
      <c r="AL44" s="426"/>
      <c r="AM44" s="426"/>
      <c r="AN44" s="426"/>
      <c r="AO44" s="426"/>
      <c r="AP44" s="426"/>
      <c r="AQ44" s="427"/>
      <c r="AR44" s="513">
        <f>IF(AR50&lt;&gt;"","取得","")</f>
      </c>
      <c r="AS44" s="55"/>
      <c r="AT44" s="518" t="s">
        <v>834</v>
      </c>
      <c r="AU44" s="518"/>
      <c r="AV44" s="518"/>
      <c r="AW44" s="518"/>
      <c r="AX44" s="518"/>
      <c r="AY44" s="521"/>
      <c r="AZ44" s="2"/>
      <c r="BA44" s="10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 t="s">
        <v>848</v>
      </c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</row>
    <row r="45" spans="1:85" ht="9" customHeight="1">
      <c r="A45" s="16"/>
      <c r="C45" s="345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7"/>
      <c r="T45" s="345"/>
      <c r="U45" s="426"/>
      <c r="V45" s="426"/>
      <c r="W45" s="426"/>
      <c r="X45" s="426"/>
      <c r="Y45" s="426"/>
      <c r="Z45" s="426"/>
      <c r="AA45" s="427"/>
      <c r="AB45" s="345"/>
      <c r="AC45" s="426"/>
      <c r="AD45" s="426"/>
      <c r="AE45" s="426"/>
      <c r="AF45" s="426"/>
      <c r="AG45" s="426"/>
      <c r="AH45" s="426"/>
      <c r="AI45" s="426"/>
      <c r="AJ45" s="345"/>
      <c r="AK45" s="426"/>
      <c r="AL45" s="426"/>
      <c r="AM45" s="426"/>
      <c r="AN45" s="426"/>
      <c r="AO45" s="426"/>
      <c r="AP45" s="426"/>
      <c r="AQ45" s="427"/>
      <c r="AR45" s="502"/>
      <c r="AT45" s="426"/>
      <c r="AU45" s="426"/>
      <c r="AV45" s="426"/>
      <c r="AW45" s="426"/>
      <c r="AX45" s="426"/>
      <c r="AY45" s="500"/>
      <c r="AZ45" s="2"/>
      <c r="BA45" s="10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</row>
    <row r="46" spans="1:85" ht="9" customHeight="1">
      <c r="A46" s="16"/>
      <c r="C46" s="34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7"/>
      <c r="T46" s="345" t="str">
        <f>O48</f>
        <v>川上</v>
      </c>
      <c r="U46" s="426"/>
      <c r="V46" s="426"/>
      <c r="W46" s="426"/>
      <c r="X46" s="426"/>
      <c r="Y46" s="426"/>
      <c r="Z46" s="426"/>
      <c r="AA46" s="427"/>
      <c r="AB46" s="345" t="str">
        <f>O52</f>
        <v>梅森</v>
      </c>
      <c r="AC46" s="426"/>
      <c r="AD46" s="426"/>
      <c r="AE46" s="426"/>
      <c r="AF46" s="426"/>
      <c r="AG46" s="426"/>
      <c r="AH46" s="426"/>
      <c r="AI46" s="426"/>
      <c r="AJ46" s="345" t="str">
        <f>O56</f>
        <v>津田</v>
      </c>
      <c r="AK46" s="426"/>
      <c r="AL46" s="426"/>
      <c r="AM46" s="426"/>
      <c r="AN46" s="426"/>
      <c r="AO46" s="426"/>
      <c r="AP46" s="426"/>
      <c r="AQ46" s="427"/>
      <c r="AR46" s="502">
        <f>IF(AR50&lt;&gt;"","ゲーム率","")</f>
      </c>
      <c r="AS46" s="426"/>
      <c r="AT46" s="426" t="s">
        <v>835</v>
      </c>
      <c r="AU46" s="426"/>
      <c r="AV46" s="426"/>
      <c r="AW46" s="426"/>
      <c r="AX46" s="426"/>
      <c r="AY46" s="500"/>
      <c r="AZ46" s="2"/>
      <c r="BA46" s="10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</row>
    <row r="47" spans="1:89" ht="9" customHeight="1">
      <c r="A47" s="16"/>
      <c r="C47" s="537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538"/>
      <c r="T47" s="537"/>
      <c r="U47" s="499"/>
      <c r="V47" s="499"/>
      <c r="W47" s="499"/>
      <c r="X47" s="499"/>
      <c r="Y47" s="499"/>
      <c r="Z47" s="499"/>
      <c r="AA47" s="538"/>
      <c r="AB47" s="537"/>
      <c r="AC47" s="499"/>
      <c r="AD47" s="499"/>
      <c r="AE47" s="499"/>
      <c r="AF47" s="499"/>
      <c r="AG47" s="499"/>
      <c r="AH47" s="499"/>
      <c r="AI47" s="499"/>
      <c r="AJ47" s="537"/>
      <c r="AK47" s="499"/>
      <c r="AL47" s="499"/>
      <c r="AM47" s="499"/>
      <c r="AN47" s="499"/>
      <c r="AO47" s="499"/>
      <c r="AP47" s="499"/>
      <c r="AQ47" s="538"/>
      <c r="AR47" s="503"/>
      <c r="AS47" s="499"/>
      <c r="AT47" s="499"/>
      <c r="AU47" s="499"/>
      <c r="AV47" s="499"/>
      <c r="AW47" s="499"/>
      <c r="AX47" s="499"/>
      <c r="AY47" s="501"/>
      <c r="AZ47" s="2"/>
      <c r="BA47" s="2"/>
      <c r="BR47" s="426"/>
      <c r="BS47" s="426"/>
      <c r="BT47" s="426"/>
      <c r="BU47" s="426"/>
      <c r="BV47" s="426"/>
      <c r="BW47" s="426"/>
      <c r="BX47" s="426"/>
      <c r="BY47" s="426"/>
      <c r="BZ47" s="426"/>
      <c r="CA47" s="45"/>
      <c r="CB47" s="45"/>
      <c r="CC47" s="45"/>
      <c r="CD47" s="18"/>
      <c r="CE47" s="18"/>
      <c r="CF47" s="18"/>
      <c r="CG47" s="18"/>
      <c r="CH47" s="18"/>
      <c r="CI47" s="18"/>
      <c r="CJ47" s="18"/>
      <c r="CK47" s="18"/>
    </row>
    <row r="48" spans="1:121" s="2" customFormat="1" ht="9" customHeight="1" thickBot="1">
      <c r="A48" s="74"/>
      <c r="B48" s="593">
        <f>AV50</f>
        <v>1</v>
      </c>
      <c r="C48" s="529" t="s">
        <v>1695</v>
      </c>
      <c r="D48" s="350"/>
      <c r="E48" s="350"/>
      <c r="F48" s="350" t="str">
        <f>IF(C48="ここに","",VLOOKUP(C48,'登録ナンバー'!$A$1:$C$620,2,0))</f>
        <v>辰巳</v>
      </c>
      <c r="G48" s="350"/>
      <c r="H48" s="350"/>
      <c r="I48" s="350"/>
      <c r="J48" s="350"/>
      <c r="K48" s="559" t="s">
        <v>837</v>
      </c>
      <c r="L48" s="350" t="s">
        <v>1716</v>
      </c>
      <c r="M48" s="350"/>
      <c r="N48" s="350"/>
      <c r="O48" s="350" t="str">
        <f>IF(L48="ここに","",VLOOKUP(L48,'登録ナンバー'!$A$1:$C$620,2,0))</f>
        <v>川上</v>
      </c>
      <c r="P48" s="350"/>
      <c r="Q48" s="350"/>
      <c r="R48" s="350"/>
      <c r="S48" s="350"/>
      <c r="T48" s="628" t="str">
        <f>IF(AB48="","丸付き数字は試合順番","")</f>
        <v>丸付き数字は試合順番</v>
      </c>
      <c r="U48" s="629"/>
      <c r="V48" s="629"/>
      <c r="W48" s="629"/>
      <c r="X48" s="629"/>
      <c r="Y48" s="629"/>
      <c r="Z48" s="629"/>
      <c r="AA48" s="630"/>
      <c r="AB48" s="436"/>
      <c r="AC48" s="351"/>
      <c r="AD48" s="351"/>
      <c r="AE48" s="351" t="s">
        <v>838</v>
      </c>
      <c r="AF48" s="351" t="s">
        <v>839</v>
      </c>
      <c r="AG48" s="351"/>
      <c r="AH48" s="351"/>
      <c r="AI48" s="625"/>
      <c r="AJ48" s="436" t="s">
        <v>840</v>
      </c>
      <c r="AK48" s="351"/>
      <c r="AL48" s="351"/>
      <c r="AM48" s="351" t="s">
        <v>838</v>
      </c>
      <c r="AN48" s="351"/>
      <c r="AO48" s="351"/>
      <c r="AP48" s="351"/>
      <c r="AQ48" s="625"/>
      <c r="AR48" s="450">
        <f>IF(COUNTIF(AS48:AU58,1)=2,"直接対決","")</f>
      </c>
      <c r="AS48" s="497">
        <f>COUNTIF(T48:AQ49,"⑥")+COUNTIF(T48:AQ49,"⑦")</f>
        <v>0</v>
      </c>
      <c r="AT48" s="497"/>
      <c r="AU48" s="497"/>
      <c r="AV48" s="456">
        <f>IF(AB48="","",2-AS48)</f>
      </c>
      <c r="AW48" s="456"/>
      <c r="AX48" s="456"/>
      <c r="AY48" s="457"/>
      <c r="AZ48" s="7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426"/>
      <c r="BS48" s="426"/>
      <c r="BT48" s="426"/>
      <c r="BU48" s="426"/>
      <c r="BV48" s="426"/>
      <c r="BW48" s="426"/>
      <c r="BX48" s="426"/>
      <c r="BY48" s="426"/>
      <c r="BZ48" s="426"/>
      <c r="CA48" s="3"/>
      <c r="CB48" s="426"/>
      <c r="CC48" s="646"/>
      <c r="CD48" s="8"/>
      <c r="CE48" s="8"/>
      <c r="CF48" s="8"/>
      <c r="CG48" s="8"/>
      <c r="CH48" s="426" t="s">
        <v>849</v>
      </c>
      <c r="CI48" s="426"/>
      <c r="CJ48" s="426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DM48" s="20"/>
      <c r="DN48" s="20"/>
      <c r="DO48" s="20"/>
      <c r="DP48" s="20"/>
      <c r="DQ48" s="20"/>
    </row>
    <row r="49" spans="1:121" s="2" customFormat="1" ht="9" customHeight="1">
      <c r="A49" s="74"/>
      <c r="B49" s="593"/>
      <c r="C49" s="530"/>
      <c r="D49" s="342"/>
      <c r="E49" s="342"/>
      <c r="F49" s="342"/>
      <c r="G49" s="342"/>
      <c r="H49" s="342"/>
      <c r="I49" s="342"/>
      <c r="J49" s="342"/>
      <c r="K49" s="559"/>
      <c r="L49" s="342"/>
      <c r="M49" s="342"/>
      <c r="N49" s="342"/>
      <c r="O49" s="342"/>
      <c r="P49" s="342"/>
      <c r="Q49" s="342"/>
      <c r="R49" s="342"/>
      <c r="S49" s="342"/>
      <c r="T49" s="631"/>
      <c r="U49" s="632"/>
      <c r="V49" s="632"/>
      <c r="W49" s="632"/>
      <c r="X49" s="632"/>
      <c r="Y49" s="632"/>
      <c r="Z49" s="632"/>
      <c r="AA49" s="633"/>
      <c r="AB49" s="437"/>
      <c r="AC49" s="348"/>
      <c r="AD49" s="348"/>
      <c r="AE49" s="348"/>
      <c r="AF49" s="348"/>
      <c r="AG49" s="348"/>
      <c r="AH49" s="348"/>
      <c r="AI49" s="626"/>
      <c r="AJ49" s="437"/>
      <c r="AK49" s="348"/>
      <c r="AL49" s="348"/>
      <c r="AM49" s="348"/>
      <c r="AN49" s="348"/>
      <c r="AO49" s="348"/>
      <c r="AP49" s="348"/>
      <c r="AQ49" s="626"/>
      <c r="AR49" s="451"/>
      <c r="AS49" s="498"/>
      <c r="AT49" s="498"/>
      <c r="AU49" s="498"/>
      <c r="AV49" s="458"/>
      <c r="AW49" s="458"/>
      <c r="AX49" s="458"/>
      <c r="AY49" s="459"/>
      <c r="AZ49" s="7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426"/>
      <c r="BS49" s="426"/>
      <c r="BT49" s="426"/>
      <c r="BU49" s="426"/>
      <c r="BV49" s="426"/>
      <c r="BW49" s="426"/>
      <c r="BX49" s="426"/>
      <c r="BY49" s="426"/>
      <c r="BZ49" s="426"/>
      <c r="CA49" s="46"/>
      <c r="CB49" s="647"/>
      <c r="CC49" s="648"/>
      <c r="CD49" s="426"/>
      <c r="CE49" s="426"/>
      <c r="CF49" s="426"/>
      <c r="CG49" s="426"/>
      <c r="CH49" s="426"/>
      <c r="CI49" s="426"/>
      <c r="CJ49" s="426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DM49" s="20"/>
      <c r="DN49" s="20"/>
      <c r="DO49" s="20"/>
      <c r="DP49" s="20"/>
      <c r="DQ49" s="20"/>
    </row>
    <row r="50" spans="1:121" ht="15.75" customHeight="1">
      <c r="A50" s="16"/>
      <c r="C50" s="530" t="s">
        <v>841</v>
      </c>
      <c r="D50" s="342"/>
      <c r="E50" s="342"/>
      <c r="F50" s="342" t="str">
        <f>IF(C48="ここに","",VLOOKUP(C48,'登録ナンバー'!$A$1:$D$620,4,0))</f>
        <v>村田ＴＣ</v>
      </c>
      <c r="G50" s="342"/>
      <c r="H50" s="342"/>
      <c r="I50" s="342"/>
      <c r="J50" s="342"/>
      <c r="K50" s="125"/>
      <c r="L50" s="559" t="s">
        <v>841</v>
      </c>
      <c r="M50" s="559"/>
      <c r="N50" s="559"/>
      <c r="O50" s="342" t="str">
        <f>IF(L48="ここに","",VLOOKUP(L48,'登録ナンバー'!$A$1:$D$620,4,0))</f>
        <v>Kテニス</v>
      </c>
      <c r="P50" s="342"/>
      <c r="Q50" s="342"/>
      <c r="R50" s="342"/>
      <c r="S50" s="637"/>
      <c r="T50" s="632"/>
      <c r="U50" s="632"/>
      <c r="V50" s="632"/>
      <c r="W50" s="632"/>
      <c r="X50" s="632"/>
      <c r="Y50" s="632"/>
      <c r="Z50" s="632"/>
      <c r="AA50" s="633"/>
      <c r="AB50" s="437"/>
      <c r="AC50" s="348"/>
      <c r="AD50" s="348"/>
      <c r="AE50" s="348"/>
      <c r="AF50" s="348"/>
      <c r="AG50" s="348"/>
      <c r="AH50" s="348"/>
      <c r="AI50" s="626"/>
      <c r="AJ50" s="437"/>
      <c r="AK50" s="348"/>
      <c r="AL50" s="348"/>
      <c r="AM50" s="348"/>
      <c r="AN50" s="348"/>
      <c r="AO50" s="348"/>
      <c r="AP50" s="348"/>
      <c r="AQ50" s="626"/>
      <c r="AR50" s="487">
        <f>IF(OR(COUNTIF(AS48:AU60,2)=3,COUNTIF(AS48:AU60,1)=3),(AB51+AJ51)/(AB51+AJ51+AF48+AN48),"")</f>
      </c>
      <c r="AS50" s="474"/>
      <c r="AT50" s="474"/>
      <c r="AU50" s="474"/>
      <c r="AV50" s="452">
        <f>IF(AR50&lt;&gt;"",RANK(AR50,AR50:AR63),RANK(AS48,AS48:AU61))</f>
        <v>1</v>
      </c>
      <c r="AW50" s="452"/>
      <c r="AX50" s="452"/>
      <c r="AY50" s="453"/>
      <c r="AZ50" s="62"/>
      <c r="BR50" s="426"/>
      <c r="BS50" s="426"/>
      <c r="BT50" s="426"/>
      <c r="BU50" s="426"/>
      <c r="BV50" s="426"/>
      <c r="BW50" s="426"/>
      <c r="BX50" s="426"/>
      <c r="BY50" s="426"/>
      <c r="BZ50" s="426"/>
      <c r="CD50" s="426"/>
      <c r="CE50" s="426"/>
      <c r="CF50" s="426"/>
      <c r="CG50" s="426"/>
      <c r="DM50" s="20"/>
      <c r="DN50" s="20"/>
      <c r="DO50" s="20"/>
      <c r="DP50" s="20"/>
      <c r="DQ50" s="20"/>
    </row>
    <row r="51" spans="1:85" ht="5.25" customHeight="1" hidden="1">
      <c r="A51" s="16"/>
      <c r="C51" s="531"/>
      <c r="D51" s="532"/>
      <c r="E51" s="532"/>
      <c r="F51" s="125"/>
      <c r="G51" s="125"/>
      <c r="H51" s="125"/>
      <c r="I51" s="125"/>
      <c r="J51" s="134"/>
      <c r="K51" s="125"/>
      <c r="L51" s="532"/>
      <c r="M51" s="532"/>
      <c r="N51" s="532"/>
      <c r="O51" s="125"/>
      <c r="P51" s="125"/>
      <c r="Q51" s="125"/>
      <c r="R51" s="126"/>
      <c r="S51" s="294"/>
      <c r="T51" s="634"/>
      <c r="U51" s="635"/>
      <c r="V51" s="635"/>
      <c r="W51" s="635"/>
      <c r="X51" s="635"/>
      <c r="Y51" s="635"/>
      <c r="Z51" s="635"/>
      <c r="AA51" s="636"/>
      <c r="AB51" s="35">
        <f>IF(AB48="⑦","7",IF(AB48="⑥","6",AB48))</f>
        <v>0</v>
      </c>
      <c r="AC51" s="36"/>
      <c r="AD51" s="36"/>
      <c r="AE51" s="36"/>
      <c r="AF51" s="36"/>
      <c r="AG51" s="36"/>
      <c r="AH51" s="36"/>
      <c r="AI51" s="36"/>
      <c r="AJ51" s="35" t="str">
        <f>IF(AJ48="⑦","7",IF(AJ48="⑥","6",AJ48))</f>
        <v>②</v>
      </c>
      <c r="AK51" s="36"/>
      <c r="AL51" s="36"/>
      <c r="AM51" s="36"/>
      <c r="AN51" s="36"/>
      <c r="AO51" s="36"/>
      <c r="AP51" s="36"/>
      <c r="AQ51" s="37"/>
      <c r="AR51" s="488"/>
      <c r="AS51" s="475"/>
      <c r="AT51" s="475"/>
      <c r="AU51" s="475"/>
      <c r="AV51" s="454"/>
      <c r="AW51" s="454"/>
      <c r="AX51" s="454"/>
      <c r="AY51" s="455"/>
      <c r="AZ51" s="62"/>
      <c r="BA51" s="15"/>
      <c r="BR51" s="2"/>
      <c r="BS51" s="2"/>
      <c r="BT51" s="2"/>
      <c r="BU51" s="2"/>
      <c r="BV51" s="2"/>
      <c r="BW51" s="2"/>
      <c r="BX51" s="2"/>
      <c r="BY51" s="2"/>
      <c r="BZ51" s="2"/>
      <c r="CD51" s="2"/>
      <c r="CE51" s="2"/>
      <c r="CF51" s="2"/>
      <c r="CG51" s="2"/>
    </row>
    <row r="52" spans="1:101" ht="9" customHeight="1">
      <c r="A52" s="16"/>
      <c r="B52" s="593">
        <f>AV54</f>
        <v>1</v>
      </c>
      <c r="C52" s="529" t="s">
        <v>1253</v>
      </c>
      <c r="D52" s="350"/>
      <c r="E52" s="350"/>
      <c r="F52" s="350" t="s">
        <v>1302</v>
      </c>
      <c r="G52" s="350"/>
      <c r="H52" s="350"/>
      <c r="I52" s="350"/>
      <c r="J52" s="350"/>
      <c r="K52" s="559" t="s">
        <v>837</v>
      </c>
      <c r="L52" s="350" t="s">
        <v>1717</v>
      </c>
      <c r="M52" s="350"/>
      <c r="N52" s="350"/>
      <c r="O52" s="350" t="str">
        <f>IF(L52="ここに","",VLOOKUP(L52,'登録ナンバー'!$A$1:$C$620,2,0))</f>
        <v>梅森</v>
      </c>
      <c r="P52" s="350"/>
      <c r="Q52" s="350"/>
      <c r="R52" s="350"/>
      <c r="S52" s="341"/>
      <c r="T52" s="344">
        <f>IF(AB48="","",IF(AND(AF48=6,AB48&lt;&gt;"⑦"),"⑥",IF(AF48=7,"⑦",AF48)))</f>
      </c>
      <c r="U52" s="424"/>
      <c r="V52" s="424"/>
      <c r="W52" s="424" t="s">
        <v>838</v>
      </c>
      <c r="X52" s="424">
        <f>IF(AB48="","",IF(AB48="⑥",6,IF(AB48="⑦",7,AB48)))</f>
      </c>
      <c r="Y52" s="424"/>
      <c r="Z52" s="424"/>
      <c r="AA52" s="425"/>
      <c r="AB52" s="601"/>
      <c r="AC52" s="602"/>
      <c r="AD52" s="602"/>
      <c r="AE52" s="602"/>
      <c r="AF52" s="602"/>
      <c r="AG52" s="602"/>
      <c r="AH52" s="602"/>
      <c r="AI52" s="602"/>
      <c r="AJ52" s="436" t="s">
        <v>842</v>
      </c>
      <c r="AK52" s="351"/>
      <c r="AL52" s="351"/>
      <c r="AM52" s="351" t="s">
        <v>838</v>
      </c>
      <c r="AN52" s="351"/>
      <c r="AO52" s="351"/>
      <c r="AP52" s="351"/>
      <c r="AQ52" s="625"/>
      <c r="AR52" s="450">
        <f>IF(COUNTIF(AS48:AU58,1)=2,"直接対決","")</f>
      </c>
      <c r="AS52" s="497">
        <f>COUNTIF(T52:AQ53,"⑥")+COUNTIF(T52:AQ53,"⑦")</f>
        <v>0</v>
      </c>
      <c r="AT52" s="497"/>
      <c r="AU52" s="497"/>
      <c r="AV52" s="456">
        <f>IF(AB48="","",2-AS52)</f>
      </c>
      <c r="AW52" s="456"/>
      <c r="AX52" s="456"/>
      <c r="AY52" s="457"/>
      <c r="AZ52" s="73"/>
      <c r="BA52" s="15"/>
      <c r="BB52" s="2"/>
      <c r="BC52" s="2"/>
      <c r="BD52" s="361" t="s">
        <v>859</v>
      </c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R52" s="2"/>
      <c r="CS52" s="2"/>
      <c r="CT52" s="2"/>
      <c r="CU52" s="2"/>
      <c r="CV52" s="2"/>
      <c r="CW52" s="2"/>
    </row>
    <row r="53" spans="1:101" ht="9" customHeight="1">
      <c r="A53" s="16"/>
      <c r="B53" s="593"/>
      <c r="C53" s="530"/>
      <c r="D53" s="342"/>
      <c r="E53" s="342"/>
      <c r="F53" s="342"/>
      <c r="G53" s="342"/>
      <c r="H53" s="342"/>
      <c r="I53" s="342"/>
      <c r="J53" s="342"/>
      <c r="K53" s="559"/>
      <c r="L53" s="342"/>
      <c r="M53" s="342"/>
      <c r="N53" s="342"/>
      <c r="O53" s="342"/>
      <c r="P53" s="342"/>
      <c r="Q53" s="342"/>
      <c r="R53" s="342"/>
      <c r="S53" s="343"/>
      <c r="T53" s="345"/>
      <c r="U53" s="426"/>
      <c r="V53" s="426"/>
      <c r="W53" s="426"/>
      <c r="X53" s="426"/>
      <c r="Y53" s="426"/>
      <c r="Z53" s="426"/>
      <c r="AA53" s="427"/>
      <c r="AB53" s="604"/>
      <c r="AC53" s="605"/>
      <c r="AD53" s="605"/>
      <c r="AE53" s="605"/>
      <c r="AF53" s="605"/>
      <c r="AG53" s="605"/>
      <c r="AH53" s="605"/>
      <c r="AI53" s="605"/>
      <c r="AJ53" s="437"/>
      <c r="AK53" s="348"/>
      <c r="AL53" s="348"/>
      <c r="AM53" s="348"/>
      <c r="AN53" s="348"/>
      <c r="AO53" s="348"/>
      <c r="AP53" s="348"/>
      <c r="AQ53" s="626"/>
      <c r="AR53" s="451"/>
      <c r="AS53" s="498"/>
      <c r="AT53" s="498"/>
      <c r="AU53" s="498"/>
      <c r="AV53" s="458"/>
      <c r="AW53" s="458"/>
      <c r="AX53" s="458"/>
      <c r="AY53" s="459"/>
      <c r="AZ53" s="73"/>
      <c r="BA53" s="10"/>
      <c r="BB53" s="2"/>
      <c r="BC53" s="2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R53" s="2"/>
      <c r="CS53" s="2"/>
      <c r="CT53" s="2"/>
      <c r="CU53" s="2"/>
      <c r="CV53" s="2"/>
      <c r="CW53" s="2"/>
    </row>
    <row r="54" spans="1:107" ht="14.25" customHeight="1">
      <c r="A54" s="16"/>
      <c r="B54" s="16"/>
      <c r="C54" s="530" t="s">
        <v>841</v>
      </c>
      <c r="D54" s="342"/>
      <c r="E54" s="342"/>
      <c r="F54" s="342" t="s">
        <v>1397</v>
      </c>
      <c r="G54" s="342"/>
      <c r="H54" s="342"/>
      <c r="I54" s="342"/>
      <c r="J54" s="342"/>
      <c r="K54" s="125"/>
      <c r="L54" s="559" t="s">
        <v>841</v>
      </c>
      <c r="M54" s="559"/>
      <c r="N54" s="559"/>
      <c r="O54" s="342" t="str">
        <f>IF(L52="ここに","",VLOOKUP(L52,'登録ナンバー'!$A$1:$D$620,4,0))</f>
        <v>グリフィンズ</v>
      </c>
      <c r="P54" s="342"/>
      <c r="Q54" s="342"/>
      <c r="R54" s="342"/>
      <c r="S54" s="637"/>
      <c r="T54" s="426"/>
      <c r="U54" s="426"/>
      <c r="V54" s="426"/>
      <c r="W54" s="426"/>
      <c r="X54" s="426"/>
      <c r="Y54" s="426"/>
      <c r="Z54" s="426"/>
      <c r="AA54" s="427"/>
      <c r="AB54" s="604"/>
      <c r="AC54" s="605"/>
      <c r="AD54" s="605"/>
      <c r="AE54" s="605"/>
      <c r="AF54" s="605"/>
      <c r="AG54" s="605"/>
      <c r="AH54" s="605"/>
      <c r="AI54" s="605"/>
      <c r="AJ54" s="437"/>
      <c r="AK54" s="348"/>
      <c r="AL54" s="348"/>
      <c r="AM54" s="348"/>
      <c r="AN54" s="435"/>
      <c r="AO54" s="435"/>
      <c r="AP54" s="435"/>
      <c r="AQ54" s="627"/>
      <c r="AR54" s="487">
        <f>IF(OR(COUNTIF(AS48:AU60,2)=3,COUNTIF(AS48:AU60,1)=3),(T55+AJ55)/(T55+AJ55+X52+AN52),"")</f>
      </c>
      <c r="AS54" s="426"/>
      <c r="AT54" s="426"/>
      <c r="AU54" s="426"/>
      <c r="AV54" s="452">
        <f>IF(AR54&lt;&gt;"",RANK(AR54,AR50:AR63),RANK(AS52,AS48:AU61))</f>
        <v>1</v>
      </c>
      <c r="AW54" s="452"/>
      <c r="AX54" s="452"/>
      <c r="AY54" s="453"/>
      <c r="AZ54" s="62"/>
      <c r="BA54" s="10"/>
      <c r="BE54" s="426" t="str">
        <f>IF($AB$10="","リーグ1",VLOOKUP(2,$B$10:$S$21,5,FALSE))</f>
        <v>リーグ1</v>
      </c>
      <c r="BF54" s="426"/>
      <c r="BG54" s="426"/>
      <c r="BH54" s="426"/>
      <c r="BI54" s="426"/>
      <c r="BJ54" s="426"/>
      <c r="BK54" s="426"/>
      <c r="BL54" s="426">
        <f>IF($AB$10="","",VLOOKUP(2,$B$10:$S$21,14,FALSE))</f>
      </c>
      <c r="BM54" s="426"/>
      <c r="BN54" s="426"/>
      <c r="BO54" s="426"/>
      <c r="BP54" s="426"/>
      <c r="BQ54" s="426"/>
      <c r="BR54" s="426"/>
      <c r="BS54" s="17"/>
      <c r="BT54" s="17"/>
      <c r="BU54" s="17"/>
      <c r="CA54" s="383" t="s">
        <v>847</v>
      </c>
      <c r="CB54" s="383"/>
      <c r="CC54" s="383"/>
      <c r="CD54" s="383"/>
      <c r="CE54" s="383"/>
      <c r="CF54" s="383"/>
      <c r="CL54" s="17"/>
      <c r="CM54" s="17"/>
      <c r="CN54" s="17"/>
      <c r="CO54" s="17"/>
      <c r="CP54" s="426" t="str">
        <f>IF($AB$67="","リーグ4",VLOOKUP(2,$B$67:$S$76,5,FALSE))</f>
        <v>リーグ4</v>
      </c>
      <c r="CQ54" s="426"/>
      <c r="CR54" s="426"/>
      <c r="CS54" s="426"/>
      <c r="CT54" s="426"/>
      <c r="CU54" s="426"/>
      <c r="CV54" s="426"/>
      <c r="CW54" s="426"/>
      <c r="CX54" s="426">
        <f>IF($AB$67="","",VLOOKUP(2,$B$67:$S$76,14,FALSE))</f>
      </c>
      <c r="CY54" s="426"/>
      <c r="CZ54" s="426"/>
      <c r="DA54" s="426"/>
      <c r="DB54" s="426"/>
      <c r="DC54" s="426"/>
    </row>
    <row r="55" spans="1:107" ht="3.75" customHeight="1" hidden="1">
      <c r="A55" s="16"/>
      <c r="B55" s="16"/>
      <c r="C55" s="531"/>
      <c r="D55" s="532"/>
      <c r="E55" s="532"/>
      <c r="F55" s="125"/>
      <c r="G55" s="125"/>
      <c r="H55" s="125"/>
      <c r="I55" s="125"/>
      <c r="J55" s="134"/>
      <c r="K55" s="125"/>
      <c r="L55" s="532"/>
      <c r="M55" s="532"/>
      <c r="N55" s="532"/>
      <c r="O55" s="125"/>
      <c r="P55" s="125"/>
      <c r="Q55" s="125"/>
      <c r="R55" s="126"/>
      <c r="S55" s="294"/>
      <c r="T55" s="35">
        <f>IF(T52="⑦","7",IF(T52="⑥","6",T52))</f>
      </c>
      <c r="U55" s="11"/>
      <c r="V55" s="11"/>
      <c r="W55" s="11"/>
      <c r="X55" s="11"/>
      <c r="Y55" s="11"/>
      <c r="Z55" s="11"/>
      <c r="AA55" s="39"/>
      <c r="AB55" s="607"/>
      <c r="AC55" s="608"/>
      <c r="AD55" s="608"/>
      <c r="AE55" s="608"/>
      <c r="AF55" s="608"/>
      <c r="AG55" s="608"/>
      <c r="AH55" s="608"/>
      <c r="AI55" s="608"/>
      <c r="AJ55" s="35" t="str">
        <f>IF(AJ52="⑦","7",IF(AJ52="⑥","6",AJ52))</f>
        <v>①</v>
      </c>
      <c r="AK55" s="36"/>
      <c r="AL55" s="36"/>
      <c r="AM55" s="36"/>
      <c r="AN55" s="36"/>
      <c r="AO55" s="36"/>
      <c r="AP55" s="36"/>
      <c r="AQ55" s="37"/>
      <c r="AR55" s="488"/>
      <c r="AS55" s="499"/>
      <c r="AT55" s="499"/>
      <c r="AU55" s="499"/>
      <c r="AV55" s="454"/>
      <c r="AW55" s="454"/>
      <c r="AX55" s="454"/>
      <c r="AY55" s="455"/>
      <c r="AZ55" s="62"/>
      <c r="BA55" s="15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18"/>
      <c r="BT55" s="18"/>
      <c r="BU55" s="19"/>
      <c r="BV55" s="18"/>
      <c r="BW55" s="18"/>
      <c r="BX55" s="18"/>
      <c r="BY55" s="18"/>
      <c r="BZ55" s="18"/>
      <c r="CA55" s="383"/>
      <c r="CB55" s="383"/>
      <c r="CC55" s="383"/>
      <c r="CD55" s="383"/>
      <c r="CE55" s="383"/>
      <c r="CF55" s="383"/>
      <c r="CG55" s="18"/>
      <c r="CH55" s="17"/>
      <c r="CI55" s="17"/>
      <c r="CJ55" s="17"/>
      <c r="CK55" s="28"/>
      <c r="CL55" s="18"/>
      <c r="CM55" s="18"/>
      <c r="CN55" s="18"/>
      <c r="CO55" s="18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</row>
    <row r="56" spans="1:107" ht="9" customHeight="1" thickBot="1">
      <c r="A56" s="16"/>
      <c r="B56" s="593">
        <f>AV58</f>
        <v>1</v>
      </c>
      <c r="C56" s="529" t="s">
        <v>1253</v>
      </c>
      <c r="D56" s="350"/>
      <c r="E56" s="350"/>
      <c r="F56" s="350" t="s">
        <v>1709</v>
      </c>
      <c r="G56" s="350"/>
      <c r="H56" s="350"/>
      <c r="I56" s="350"/>
      <c r="J56" s="350"/>
      <c r="K56" s="559" t="s">
        <v>837</v>
      </c>
      <c r="L56" s="350" t="s">
        <v>1718</v>
      </c>
      <c r="M56" s="350"/>
      <c r="N56" s="350"/>
      <c r="O56" s="350" t="s">
        <v>1505</v>
      </c>
      <c r="P56" s="350"/>
      <c r="Q56" s="350"/>
      <c r="R56" s="350"/>
      <c r="S56" s="341"/>
      <c r="T56" s="344">
        <f>IF(AN48="","",IF(AND(AN48=6,AJ48&lt;&gt;"⑦"),"⑥",IF(AN48=7,"⑦",AN48)))</f>
      </c>
      <c r="U56" s="424"/>
      <c r="V56" s="424"/>
      <c r="W56" s="424" t="s">
        <v>838</v>
      </c>
      <c r="X56" s="424">
        <f>IF(AN48="","",IF(AJ48="⑥",6,IF(AJ48="⑦",7,AJ48)))</f>
      </c>
      <c r="Y56" s="424"/>
      <c r="Z56" s="424"/>
      <c r="AA56" s="425"/>
      <c r="AB56" s="344">
        <f>IF(AN52="","",IF(AND(AN52=6,AJ52&lt;&gt;"⑦"),"⑥",IF(AN52=7,"⑦",AN52)))</f>
      </c>
      <c r="AC56" s="424"/>
      <c r="AD56" s="424"/>
      <c r="AE56" s="424" t="s">
        <v>838</v>
      </c>
      <c r="AF56" s="424">
        <f>IF(AN52="","",IF(AJ52="⑥",6,IF(AJ52="⑦",7,AJ52)))</f>
      </c>
      <c r="AG56" s="424"/>
      <c r="AH56" s="424"/>
      <c r="AI56" s="425"/>
      <c r="AJ56" s="476"/>
      <c r="AK56" s="477"/>
      <c r="AL56" s="477"/>
      <c r="AM56" s="477"/>
      <c r="AN56" s="477"/>
      <c r="AO56" s="477"/>
      <c r="AP56" s="480"/>
      <c r="AQ56" s="481"/>
      <c r="AR56" s="450">
        <f>IF(COUNTIF(AS48:AU58,1)=2,"直接対決","")</f>
      </c>
      <c r="AS56" s="497">
        <f>COUNTIF(T56:AQ57,"⑥")+COUNTIF(T56:AQ57,"⑦")</f>
        <v>0</v>
      </c>
      <c r="AT56" s="497"/>
      <c r="AU56" s="497"/>
      <c r="AV56" s="456">
        <f>IF(AB48="","",2-AS56)</f>
      </c>
      <c r="AW56" s="456"/>
      <c r="AX56" s="456"/>
      <c r="AY56" s="457"/>
      <c r="AZ56" s="73"/>
      <c r="BA56" s="15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2"/>
      <c r="BU56" s="24"/>
      <c r="BV56" s="30"/>
      <c r="BW56" s="18"/>
      <c r="BX56" s="18"/>
      <c r="BY56" s="18"/>
      <c r="BZ56" s="18"/>
      <c r="CA56" s="383"/>
      <c r="CB56" s="383"/>
      <c r="CC56" s="383"/>
      <c r="CD56" s="383"/>
      <c r="CE56" s="383"/>
      <c r="CF56" s="383"/>
      <c r="CG56" s="18"/>
      <c r="CH56" s="21"/>
      <c r="CI56" s="21"/>
      <c r="CJ56" s="21"/>
      <c r="CK56" s="22"/>
      <c r="CL56" s="651" t="s">
        <v>1310</v>
      </c>
      <c r="CM56" s="640"/>
      <c r="CN56" s="640"/>
      <c r="CO56" s="18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  <c r="DB56" s="426"/>
      <c r="DC56" s="426"/>
    </row>
    <row r="57" spans="1:100" ht="9" customHeight="1">
      <c r="A57" s="16"/>
      <c r="B57" s="593"/>
      <c r="C57" s="530"/>
      <c r="D57" s="342"/>
      <c r="E57" s="342"/>
      <c r="F57" s="342"/>
      <c r="G57" s="342"/>
      <c r="H57" s="342"/>
      <c r="I57" s="342"/>
      <c r="J57" s="342"/>
      <c r="K57" s="559"/>
      <c r="L57" s="342"/>
      <c r="M57" s="342"/>
      <c r="N57" s="342"/>
      <c r="O57" s="342"/>
      <c r="P57" s="342"/>
      <c r="Q57" s="342"/>
      <c r="R57" s="342"/>
      <c r="S57" s="343"/>
      <c r="T57" s="345"/>
      <c r="U57" s="426"/>
      <c r="V57" s="426"/>
      <c r="W57" s="426"/>
      <c r="X57" s="426"/>
      <c r="Y57" s="426"/>
      <c r="Z57" s="426"/>
      <c r="AA57" s="427"/>
      <c r="AB57" s="345"/>
      <c r="AC57" s="426"/>
      <c r="AD57" s="426"/>
      <c r="AE57" s="426"/>
      <c r="AF57" s="426"/>
      <c r="AG57" s="426"/>
      <c r="AH57" s="426"/>
      <c r="AI57" s="427"/>
      <c r="AJ57" s="479"/>
      <c r="AK57" s="480"/>
      <c r="AL57" s="480"/>
      <c r="AM57" s="480"/>
      <c r="AN57" s="480"/>
      <c r="AO57" s="480"/>
      <c r="AP57" s="480"/>
      <c r="AQ57" s="481"/>
      <c r="AR57" s="451"/>
      <c r="AS57" s="498"/>
      <c r="AT57" s="498"/>
      <c r="AU57" s="498"/>
      <c r="AV57" s="458"/>
      <c r="AW57" s="458"/>
      <c r="AX57" s="458"/>
      <c r="AY57" s="459"/>
      <c r="AZ57" s="73"/>
      <c r="BA57" s="10"/>
      <c r="BE57" s="2"/>
      <c r="BF57" s="2"/>
      <c r="BG57" s="2"/>
      <c r="BH57" s="2"/>
      <c r="BI57" s="2"/>
      <c r="BJ57" s="2"/>
      <c r="BK57" s="295"/>
      <c r="BL57" s="295"/>
      <c r="BM57" s="295"/>
      <c r="BN57" s="295"/>
      <c r="BO57" s="295"/>
      <c r="BP57" s="295"/>
      <c r="BQ57" s="295"/>
      <c r="BR57" s="295"/>
      <c r="BS57" s="18"/>
      <c r="BU57" s="24"/>
      <c r="BV57" s="344"/>
      <c r="BW57" s="424"/>
      <c r="BX57" s="424"/>
      <c r="BY57" s="425"/>
      <c r="BZ57" s="23"/>
      <c r="CC57" s="9"/>
      <c r="CG57" s="24"/>
      <c r="CH57" s="426"/>
      <c r="CI57" s="426"/>
      <c r="CJ57" s="426"/>
      <c r="CK57" s="427"/>
      <c r="CL57" s="595"/>
      <c r="CM57" s="590"/>
      <c r="CN57" s="590"/>
      <c r="CO57" s="18"/>
      <c r="CP57" s="18"/>
      <c r="CQ57" s="18"/>
      <c r="CR57" s="18"/>
      <c r="CS57" s="18"/>
      <c r="CT57" s="18"/>
      <c r="CU57" s="18"/>
      <c r="CV57" s="2"/>
    </row>
    <row r="58" spans="1:107" ht="15.75" customHeight="1" thickBot="1">
      <c r="A58" s="16"/>
      <c r="B58" s="16"/>
      <c r="C58" s="530" t="s">
        <v>841</v>
      </c>
      <c r="D58" s="342"/>
      <c r="E58" s="342"/>
      <c r="F58" s="342" t="s">
        <v>1397</v>
      </c>
      <c r="G58" s="342"/>
      <c r="H58" s="342"/>
      <c r="I58" s="342"/>
      <c r="J58" s="342"/>
      <c r="K58" s="125"/>
      <c r="L58" s="559" t="s">
        <v>841</v>
      </c>
      <c r="M58" s="559"/>
      <c r="N58" s="559"/>
      <c r="O58" s="342" t="s">
        <v>1708</v>
      </c>
      <c r="P58" s="342"/>
      <c r="Q58" s="342"/>
      <c r="R58" s="342"/>
      <c r="S58" s="637"/>
      <c r="T58" s="426"/>
      <c r="U58" s="426"/>
      <c r="V58" s="426"/>
      <c r="W58" s="426"/>
      <c r="X58" s="499"/>
      <c r="Y58" s="499"/>
      <c r="Z58" s="499"/>
      <c r="AA58" s="538"/>
      <c r="AB58" s="345"/>
      <c r="AC58" s="426"/>
      <c r="AD58" s="426"/>
      <c r="AE58" s="426"/>
      <c r="AF58" s="426"/>
      <c r="AG58" s="426"/>
      <c r="AH58" s="426"/>
      <c r="AI58" s="427"/>
      <c r="AJ58" s="479"/>
      <c r="AK58" s="480"/>
      <c r="AL58" s="480"/>
      <c r="AM58" s="480"/>
      <c r="AN58" s="480"/>
      <c r="AO58" s="480"/>
      <c r="AP58" s="480"/>
      <c r="AQ58" s="481"/>
      <c r="AR58" s="487">
        <f>IF(OR(COUNTIF(AS48:AU60,2)=3,COUNTIF(AS48:AU60,1)=3),(AB59+T59)/(T59+AF56+X56+AB59),"")</f>
      </c>
      <c r="AS58" s="474"/>
      <c r="AT58" s="474"/>
      <c r="AU58" s="474"/>
      <c r="AV58" s="452">
        <f>IF(AR58&lt;&gt;"",RANK(AR58,AR50:AR63),RANK(AS56,AS48:AU61))</f>
        <v>1</v>
      </c>
      <c r="AW58" s="452"/>
      <c r="AX58" s="452"/>
      <c r="AY58" s="453"/>
      <c r="AZ58" s="62"/>
      <c r="BA58" s="10"/>
      <c r="BE58" s="426" t="s">
        <v>855</v>
      </c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S58" s="40"/>
      <c r="BT58" s="17"/>
      <c r="BU58" s="28"/>
      <c r="BV58" s="345"/>
      <c r="BW58" s="426"/>
      <c r="BX58" s="426"/>
      <c r="BY58" s="427"/>
      <c r="CA58" s="426"/>
      <c r="CB58" s="426"/>
      <c r="CC58" s="426"/>
      <c r="CD58" s="426"/>
      <c r="CE58" s="426"/>
      <c r="CF58" s="426"/>
      <c r="CG58" s="24"/>
      <c r="CH58" s="426"/>
      <c r="CI58" s="426"/>
      <c r="CJ58" s="426"/>
      <c r="CK58" s="427"/>
      <c r="CL58" s="595"/>
      <c r="CM58" s="590"/>
      <c r="CN58" s="590"/>
      <c r="CO58" s="11"/>
      <c r="CQ58" s="426" t="str">
        <f>IF($AB$86="","リーグ５",VLOOKUP(2,$B$86:$S$95,5,FALSE))</f>
        <v>リーグ５</v>
      </c>
      <c r="CR58" s="426"/>
      <c r="CS58" s="426"/>
      <c r="CT58" s="426"/>
      <c r="CU58" s="426"/>
      <c r="CV58" s="426"/>
      <c r="CW58" s="426"/>
      <c r="CX58" s="426">
        <f>IF($AB$86="","",VLOOKUP(2,$B$86:$S$95,14,FALSE))</f>
      </c>
      <c r="CY58" s="426"/>
      <c r="CZ58" s="426"/>
      <c r="DA58" s="426"/>
      <c r="DB58" s="426"/>
      <c r="DC58" s="426"/>
    </row>
    <row r="59" spans="2:107" ht="5.25" customHeight="1" hidden="1">
      <c r="B59" s="16"/>
      <c r="C59" s="531"/>
      <c r="D59" s="532"/>
      <c r="E59" s="532"/>
      <c r="F59" s="125"/>
      <c r="G59" s="125"/>
      <c r="H59" s="125"/>
      <c r="I59" s="125"/>
      <c r="J59" s="125"/>
      <c r="K59" s="125"/>
      <c r="L59" s="532"/>
      <c r="M59" s="532"/>
      <c r="N59" s="532"/>
      <c r="O59" s="125"/>
      <c r="P59" s="125"/>
      <c r="Q59" s="125"/>
      <c r="R59" s="126"/>
      <c r="S59" s="294"/>
      <c r="T59" s="56">
        <f>IF(T56="⑦","7",IF(T56="⑥","6",T56))</f>
      </c>
      <c r="AA59" s="24"/>
      <c r="AB59" s="56">
        <f>IF(AB56="⑦","7",IF(AB56="⑥","6",AB56))</f>
      </c>
      <c r="AJ59" s="482"/>
      <c r="AK59" s="483"/>
      <c r="AL59" s="483"/>
      <c r="AM59" s="483"/>
      <c r="AN59" s="483"/>
      <c r="AO59" s="483"/>
      <c r="AP59" s="483"/>
      <c r="AQ59" s="484"/>
      <c r="AR59" s="487"/>
      <c r="AS59" s="474"/>
      <c r="AT59" s="474"/>
      <c r="AU59" s="474"/>
      <c r="AV59" s="452"/>
      <c r="AW59" s="452"/>
      <c r="AX59" s="452"/>
      <c r="AY59" s="453"/>
      <c r="AZ59" s="62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S59" s="48"/>
      <c r="BT59" s="48"/>
      <c r="BU59" s="48"/>
      <c r="BY59" s="24"/>
      <c r="CA59" s="426"/>
      <c r="CB59" s="426"/>
      <c r="CC59" s="426"/>
      <c r="CD59" s="426"/>
      <c r="CE59" s="426"/>
      <c r="CF59" s="426"/>
      <c r="CG59" s="24"/>
      <c r="CL59" s="652"/>
      <c r="CM59" s="643"/>
      <c r="CN59" s="643"/>
      <c r="CO59" s="18"/>
      <c r="CP59" s="18"/>
      <c r="CQ59" s="426"/>
      <c r="CR59" s="426"/>
      <c r="CS59" s="426"/>
      <c r="CT59" s="426"/>
      <c r="CU59" s="426"/>
      <c r="CV59" s="426"/>
      <c r="CW59" s="426"/>
      <c r="CX59" s="426"/>
      <c r="CY59" s="426"/>
      <c r="CZ59" s="426"/>
      <c r="DA59" s="426"/>
      <c r="DB59" s="426"/>
      <c r="DC59" s="426"/>
    </row>
    <row r="60" spans="3:107" ht="9" customHeight="1" thickBo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6"/>
      <c r="BA60" s="12"/>
      <c r="BE60" s="2"/>
      <c r="BF60" s="2"/>
      <c r="BG60" s="2"/>
      <c r="BH60" s="2"/>
      <c r="BI60" s="2"/>
      <c r="BJ60" s="2"/>
      <c r="BK60" s="295"/>
      <c r="BL60" s="295"/>
      <c r="BM60" s="295"/>
      <c r="BN60" s="295"/>
      <c r="BO60" s="295"/>
      <c r="BP60" s="295"/>
      <c r="BQ60" s="295"/>
      <c r="BX60" s="426"/>
      <c r="BY60" s="427"/>
      <c r="BZ60" s="8"/>
      <c r="CA60" s="11"/>
      <c r="CB60" s="11"/>
      <c r="CC60" s="41"/>
      <c r="CD60" s="42"/>
      <c r="CE60" s="11"/>
      <c r="CF60" s="11"/>
      <c r="CG60" s="43"/>
      <c r="CH60" s="426"/>
      <c r="CI60" s="426"/>
      <c r="CJ60" s="2"/>
      <c r="CL60" s="26"/>
      <c r="CM60" s="26"/>
      <c r="CN60" s="26"/>
      <c r="CO60" s="18"/>
      <c r="CP60" s="18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</row>
    <row r="61" spans="3:96" ht="9" customHeight="1">
      <c r="C61" s="426" t="s">
        <v>6</v>
      </c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2"/>
      <c r="AZ61" s="2"/>
      <c r="BA61" s="12"/>
      <c r="BK61" s="295"/>
      <c r="BL61" s="295"/>
      <c r="BM61" s="295"/>
      <c r="BN61" s="295"/>
      <c r="BO61" s="295"/>
      <c r="BP61" s="295"/>
      <c r="BQ61" s="295"/>
      <c r="BR61" s="295"/>
      <c r="BS61" s="18"/>
      <c r="BT61" s="18"/>
      <c r="BU61" s="18"/>
      <c r="BX61" s="426"/>
      <c r="BY61" s="427"/>
      <c r="BZ61" s="426"/>
      <c r="CA61" s="426"/>
      <c r="CB61" s="426"/>
      <c r="CC61" s="426"/>
      <c r="CD61" s="426"/>
      <c r="CE61" s="426"/>
      <c r="CF61" s="426"/>
      <c r="CG61" s="427"/>
      <c r="CH61" s="426"/>
      <c r="CI61" s="426"/>
      <c r="CJ61" s="2"/>
      <c r="CL61" s="18"/>
      <c r="CM61" s="18"/>
      <c r="CN61" s="18"/>
      <c r="CO61" s="18"/>
      <c r="CP61" s="18"/>
      <c r="CQ61" s="18"/>
      <c r="CR61" s="2"/>
    </row>
    <row r="62" spans="3:101" ht="9" customHeight="1" thickBot="1"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/>
      <c r="AV62" s="428"/>
      <c r="AW62" s="428"/>
      <c r="AX62" s="428"/>
      <c r="AY62" s="2"/>
      <c r="AZ62" s="2"/>
      <c r="BA62" s="2"/>
      <c r="BE62" s="426" t="str">
        <f>IF($AB$29="","リーグ2",VLOOKUP(2,$B$29:$S$40,5,FALSE))</f>
        <v>リーグ2</v>
      </c>
      <c r="BF62" s="426"/>
      <c r="BG62" s="426"/>
      <c r="BH62" s="426"/>
      <c r="BI62" s="426"/>
      <c r="BJ62" s="426"/>
      <c r="BK62" s="426"/>
      <c r="BL62" s="426">
        <f>IF($AB$29="","",VLOOKUP(2,$B$29:$S$40,14,FALSE))</f>
      </c>
      <c r="BM62" s="426"/>
      <c r="BN62" s="426"/>
      <c r="BO62" s="426"/>
      <c r="BP62" s="426"/>
      <c r="BQ62" s="426"/>
      <c r="BR62" s="426"/>
      <c r="BS62" s="40"/>
      <c r="BT62" s="17"/>
      <c r="BU62" s="17"/>
      <c r="BY62" s="24"/>
      <c r="BZ62" s="426"/>
      <c r="CA62" s="426"/>
      <c r="CB62" s="426"/>
      <c r="CC62" s="426"/>
      <c r="CD62" s="426"/>
      <c r="CE62" s="426"/>
      <c r="CF62" s="426"/>
      <c r="CG62" s="427"/>
      <c r="CL62" s="17"/>
      <c r="CM62" s="17"/>
      <c r="CN62" s="17"/>
      <c r="CO62" s="426" t="s">
        <v>855</v>
      </c>
      <c r="CP62" s="426"/>
      <c r="CQ62" s="426"/>
      <c r="CR62" s="426"/>
      <c r="CS62" s="426"/>
      <c r="CT62" s="426"/>
      <c r="CU62" s="426"/>
      <c r="CV62" s="426"/>
      <c r="CW62" s="426"/>
    </row>
    <row r="63" spans="1:101" ht="9" customHeight="1">
      <c r="A63" s="16"/>
      <c r="B63" s="16"/>
      <c r="C63" s="562" t="s">
        <v>854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7"/>
      <c r="T63" s="517" t="str">
        <f>F67</f>
        <v>井ノ口</v>
      </c>
      <c r="U63" s="518"/>
      <c r="V63" s="518"/>
      <c r="W63" s="518"/>
      <c r="X63" s="518"/>
      <c r="Y63" s="518"/>
      <c r="Z63" s="518"/>
      <c r="AA63" s="568"/>
      <c r="AB63" s="345" t="str">
        <f>F71</f>
        <v>浜中</v>
      </c>
      <c r="AC63" s="426"/>
      <c r="AD63" s="426"/>
      <c r="AE63" s="426"/>
      <c r="AF63" s="426"/>
      <c r="AG63" s="426"/>
      <c r="AH63" s="426"/>
      <c r="AI63" s="426"/>
      <c r="AJ63" s="517" t="str">
        <f>F75</f>
        <v>押谷</v>
      </c>
      <c r="AK63" s="518"/>
      <c r="AL63" s="518"/>
      <c r="AM63" s="518"/>
      <c r="AN63" s="518"/>
      <c r="AO63" s="518"/>
      <c r="AP63" s="518"/>
      <c r="AQ63" s="519"/>
      <c r="AR63" s="513">
        <f>IF(AR69&lt;&gt;"","取得","")</f>
      </c>
      <c r="AS63" s="55"/>
      <c r="AT63" s="518" t="s">
        <v>834</v>
      </c>
      <c r="AU63" s="518"/>
      <c r="AV63" s="518"/>
      <c r="AW63" s="518"/>
      <c r="AX63" s="518"/>
      <c r="AY63" s="521"/>
      <c r="AZ63" s="2"/>
      <c r="BA63" s="10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639" t="s">
        <v>1309</v>
      </c>
      <c r="BT63" s="640"/>
      <c r="BU63" s="641"/>
      <c r="BV63" s="23"/>
      <c r="BY63" s="24"/>
      <c r="CG63" s="24"/>
      <c r="CH63" s="23"/>
      <c r="CK63" s="24"/>
      <c r="CL63" s="18"/>
      <c r="CM63" s="18"/>
      <c r="CN63" s="18"/>
      <c r="CO63" s="426"/>
      <c r="CP63" s="426"/>
      <c r="CQ63" s="426"/>
      <c r="CR63" s="426"/>
      <c r="CS63" s="426"/>
      <c r="CT63" s="426"/>
      <c r="CU63" s="426"/>
      <c r="CV63" s="426"/>
      <c r="CW63" s="426"/>
    </row>
    <row r="64" spans="1:101" ht="9" customHeight="1">
      <c r="A64" s="16"/>
      <c r="C64" s="562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7"/>
      <c r="T64" s="345"/>
      <c r="U64" s="426"/>
      <c r="V64" s="426"/>
      <c r="W64" s="426"/>
      <c r="X64" s="426"/>
      <c r="Y64" s="426"/>
      <c r="Z64" s="426"/>
      <c r="AA64" s="427"/>
      <c r="AB64" s="345"/>
      <c r="AC64" s="426"/>
      <c r="AD64" s="426"/>
      <c r="AE64" s="426"/>
      <c r="AF64" s="426"/>
      <c r="AG64" s="426"/>
      <c r="AH64" s="426"/>
      <c r="AI64" s="426"/>
      <c r="AJ64" s="345"/>
      <c r="AK64" s="426"/>
      <c r="AL64" s="426"/>
      <c r="AM64" s="426"/>
      <c r="AN64" s="426"/>
      <c r="AO64" s="426"/>
      <c r="AP64" s="426"/>
      <c r="AQ64" s="520"/>
      <c r="AR64" s="502"/>
      <c r="AT64" s="426"/>
      <c r="AU64" s="426"/>
      <c r="AV64" s="426"/>
      <c r="AW64" s="426"/>
      <c r="AX64" s="426"/>
      <c r="AY64" s="500"/>
      <c r="AZ64" s="2"/>
      <c r="BA64" s="10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590"/>
      <c r="BT64" s="590"/>
      <c r="BU64" s="642"/>
      <c r="BV64" s="8"/>
      <c r="BW64" s="8"/>
      <c r="BX64" s="8"/>
      <c r="BY64" s="43"/>
      <c r="CA64" s="2"/>
      <c r="CB64" s="2"/>
      <c r="CC64" s="2"/>
      <c r="CD64" s="2"/>
      <c r="CE64" s="2"/>
      <c r="CF64" s="2"/>
      <c r="CG64" s="24"/>
      <c r="CH64" s="59"/>
      <c r="CI64" s="8"/>
      <c r="CJ64" s="8"/>
      <c r="CK64" s="43"/>
      <c r="CL64" s="590"/>
      <c r="CM64" s="590"/>
      <c r="CN64" s="18"/>
      <c r="CO64" s="426"/>
      <c r="CP64" s="426"/>
      <c r="CQ64" s="426"/>
      <c r="CR64" s="426"/>
      <c r="CS64" s="426"/>
      <c r="CT64" s="426"/>
      <c r="CU64" s="426"/>
      <c r="CV64" s="426"/>
      <c r="CW64" s="426"/>
    </row>
    <row r="65" spans="1:101" ht="9" customHeight="1">
      <c r="A65" s="16"/>
      <c r="C65" s="562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7"/>
      <c r="T65" s="345" t="str">
        <f>O67</f>
        <v>前川</v>
      </c>
      <c r="U65" s="426"/>
      <c r="V65" s="426"/>
      <c r="W65" s="426"/>
      <c r="X65" s="426"/>
      <c r="Y65" s="426"/>
      <c r="Z65" s="426"/>
      <c r="AA65" s="427"/>
      <c r="AB65" s="345" t="str">
        <f>O71</f>
        <v>三浦</v>
      </c>
      <c r="AC65" s="426"/>
      <c r="AD65" s="426"/>
      <c r="AE65" s="426"/>
      <c r="AF65" s="426"/>
      <c r="AG65" s="426"/>
      <c r="AH65" s="426"/>
      <c r="AI65" s="426"/>
      <c r="AJ65" s="345" t="str">
        <f>O75</f>
        <v>福永</v>
      </c>
      <c r="AK65" s="426"/>
      <c r="AL65" s="426"/>
      <c r="AM65" s="426"/>
      <c r="AN65" s="426"/>
      <c r="AO65" s="426"/>
      <c r="AP65" s="426"/>
      <c r="AQ65" s="427"/>
      <c r="AR65" s="502">
        <f>IF(AR69&lt;&gt;"","ゲーム率","")</f>
      </c>
      <c r="AS65" s="426"/>
      <c r="AT65" s="426" t="s">
        <v>835</v>
      </c>
      <c r="AU65" s="426"/>
      <c r="AV65" s="426"/>
      <c r="AW65" s="426"/>
      <c r="AX65" s="426"/>
      <c r="AY65" s="500"/>
      <c r="AZ65" s="2"/>
      <c r="BA65" s="10"/>
      <c r="BS65" s="590"/>
      <c r="BT65" s="590"/>
      <c r="BU65" s="642"/>
      <c r="BV65" s="426"/>
      <c r="BW65" s="426"/>
      <c r="BX65" s="426"/>
      <c r="BY65" s="426"/>
      <c r="BZ65" s="426"/>
      <c r="CA65" s="2"/>
      <c r="CB65" s="2"/>
      <c r="CC65" s="2"/>
      <c r="CD65" s="2"/>
      <c r="CE65" s="2"/>
      <c r="CF65" s="2"/>
      <c r="CG65" s="18"/>
      <c r="CH65" s="426"/>
      <c r="CI65" s="426"/>
      <c r="CJ65" s="426"/>
      <c r="CK65" s="427"/>
      <c r="CL65" s="590"/>
      <c r="CM65" s="590"/>
      <c r="CN65" s="18"/>
      <c r="CO65" s="426"/>
      <c r="CP65" s="426"/>
      <c r="CQ65" s="426"/>
      <c r="CR65" s="426"/>
      <c r="CS65" s="426"/>
      <c r="CT65" s="426"/>
      <c r="CU65" s="426"/>
      <c r="CV65" s="426"/>
      <c r="CW65" s="426"/>
    </row>
    <row r="66" spans="1:107" ht="9" customHeight="1">
      <c r="A66" s="16"/>
      <c r="C66" s="600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538"/>
      <c r="T66" s="537"/>
      <c r="U66" s="499"/>
      <c r="V66" s="499"/>
      <c r="W66" s="499"/>
      <c r="X66" s="499"/>
      <c r="Y66" s="499"/>
      <c r="Z66" s="499"/>
      <c r="AA66" s="538"/>
      <c r="AB66" s="537"/>
      <c r="AC66" s="499"/>
      <c r="AD66" s="499"/>
      <c r="AE66" s="499"/>
      <c r="AF66" s="499"/>
      <c r="AG66" s="499"/>
      <c r="AH66" s="499"/>
      <c r="AI66" s="499"/>
      <c r="AJ66" s="537"/>
      <c r="AK66" s="499"/>
      <c r="AL66" s="499"/>
      <c r="AM66" s="499"/>
      <c r="AN66" s="499"/>
      <c r="AO66" s="499"/>
      <c r="AP66" s="499"/>
      <c r="AQ66" s="538"/>
      <c r="AR66" s="503"/>
      <c r="AS66" s="499"/>
      <c r="AT66" s="499"/>
      <c r="AU66" s="499"/>
      <c r="AV66" s="499"/>
      <c r="AW66" s="499"/>
      <c r="AX66" s="499"/>
      <c r="AY66" s="501"/>
      <c r="AZ66" s="2"/>
      <c r="BE66" s="426" t="str">
        <f>IF($AB$48="","リーグ3",VLOOKUP(2,$B$48:$S$59,5,FALSE))</f>
        <v>リーグ3</v>
      </c>
      <c r="BF66" s="426"/>
      <c r="BG66" s="426"/>
      <c r="BH66" s="426"/>
      <c r="BI66" s="426"/>
      <c r="BJ66" s="426"/>
      <c r="BK66" s="426"/>
      <c r="BL66" s="426">
        <f>IF($AB$48="","",VLOOKUP(2,$B$48:$S$59,14,FALSE))</f>
      </c>
      <c r="BM66" s="426"/>
      <c r="BN66" s="426"/>
      <c r="BO66" s="426"/>
      <c r="BP66" s="426"/>
      <c r="BQ66" s="426"/>
      <c r="BR66" s="426"/>
      <c r="BS66" s="643"/>
      <c r="BT66" s="643"/>
      <c r="BU66" s="644"/>
      <c r="BV66" s="426"/>
      <c r="BW66" s="426"/>
      <c r="BX66" s="426"/>
      <c r="BY66" s="426"/>
      <c r="BZ66" s="426"/>
      <c r="CA66" s="18"/>
      <c r="CB66" s="18"/>
      <c r="CC66" s="18"/>
      <c r="CD66" s="18"/>
      <c r="CE66" s="18"/>
      <c r="CF66" s="18"/>
      <c r="CG66" s="18"/>
      <c r="CH66" s="426"/>
      <c r="CI66" s="426"/>
      <c r="CJ66" s="426"/>
      <c r="CK66" s="427"/>
      <c r="CL66" s="25"/>
      <c r="CM66" s="17"/>
      <c r="CN66" s="17"/>
      <c r="CO66" s="17"/>
      <c r="CP66" s="18"/>
      <c r="CQ66" s="426" t="str">
        <f>IF($CA$10="","リーグ6",VLOOKUP(2,$BA$10:$BR$24,5,FALSE))</f>
        <v>リーグ6</v>
      </c>
      <c r="CR66" s="426"/>
      <c r="CS66" s="426"/>
      <c r="CT66" s="426"/>
      <c r="CU66" s="426"/>
      <c r="CV66" s="426"/>
      <c r="CW66" s="426"/>
      <c r="CX66" s="426">
        <f>IF($CA$10="","",VLOOKUP(2,$BA$10:$BR$24,14,FALSE))</f>
      </c>
      <c r="CY66" s="426"/>
      <c r="CZ66" s="426" t="str">
        <f>IF($CA$10="","リーグ6",VLOOKUP(1,$BA$10:$BR$24,5,FALSE))</f>
        <v>リーグ6</v>
      </c>
      <c r="DA66" s="426"/>
      <c r="DB66" s="426" t="str">
        <f>IF($CA$10="","リーグ6",VLOOKUP(1,$BA$10:$BR$24,5,FALSE))</f>
        <v>リーグ6</v>
      </c>
      <c r="DC66" s="426"/>
    </row>
    <row r="67" spans="1:107" s="2" customFormat="1" ht="9" customHeight="1">
      <c r="A67" s="74"/>
      <c r="B67" s="593">
        <f>AV69</f>
        <v>1</v>
      </c>
      <c r="C67" s="529" t="s">
        <v>1694</v>
      </c>
      <c r="D67" s="350"/>
      <c r="E67" s="350"/>
      <c r="F67" s="350" t="str">
        <f>IF(C67="ここに","",VLOOKUP(C67,'登録ナンバー'!$A$1:$C$620,2,0))</f>
        <v>井ノ口</v>
      </c>
      <c r="G67" s="350"/>
      <c r="H67" s="350"/>
      <c r="I67" s="350"/>
      <c r="J67" s="350"/>
      <c r="K67" s="559" t="s">
        <v>837</v>
      </c>
      <c r="L67" s="350" t="s">
        <v>1719</v>
      </c>
      <c r="M67" s="350"/>
      <c r="N67" s="350"/>
      <c r="O67" s="350" t="str">
        <f>IF(L67="ここに","",VLOOKUP(L67,'登録ナンバー'!$A$1:$C$620,2,0))</f>
        <v>前川</v>
      </c>
      <c r="P67" s="350"/>
      <c r="Q67" s="350"/>
      <c r="R67" s="350"/>
      <c r="S67" s="350"/>
      <c r="T67" s="628" t="str">
        <f>IF(AB67="","丸付き数字は試合順番","")</f>
        <v>丸付き数字は試合順番</v>
      </c>
      <c r="U67" s="629"/>
      <c r="V67" s="629"/>
      <c r="W67" s="629"/>
      <c r="X67" s="629"/>
      <c r="Y67" s="629"/>
      <c r="Z67" s="629"/>
      <c r="AA67" s="630"/>
      <c r="AB67" s="436"/>
      <c r="AC67" s="351"/>
      <c r="AD67" s="351"/>
      <c r="AE67" s="351" t="s">
        <v>838</v>
      </c>
      <c r="AF67" s="351" t="s">
        <v>839</v>
      </c>
      <c r="AG67" s="351"/>
      <c r="AH67" s="351"/>
      <c r="AI67" s="625"/>
      <c r="AJ67" s="436" t="s">
        <v>840</v>
      </c>
      <c r="AK67" s="351"/>
      <c r="AL67" s="351"/>
      <c r="AM67" s="351" t="s">
        <v>838</v>
      </c>
      <c r="AN67" s="351"/>
      <c r="AO67" s="351"/>
      <c r="AP67" s="351"/>
      <c r="AQ67" s="625"/>
      <c r="AR67" s="450">
        <f>IF(COUNTIF(AS67:AU77,1)=2,"直接対決","")</f>
      </c>
      <c r="AS67" s="497">
        <f>COUNTIF(T67:AQ68,"⑥")+COUNTIF(T67:AQ68,"⑦")</f>
        <v>0</v>
      </c>
      <c r="AT67" s="497"/>
      <c r="AU67" s="497"/>
      <c r="AV67" s="456">
        <f>IF(AB67="","",2-AS67)</f>
      </c>
      <c r="AW67" s="456"/>
      <c r="AX67" s="456"/>
      <c r="AY67" s="457"/>
      <c r="AZ67" s="73"/>
      <c r="BA67" s="10"/>
      <c r="BB67" s="3"/>
      <c r="BC67" s="3"/>
      <c r="BD67" s="3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18"/>
      <c r="BT67" s="18"/>
      <c r="BU67" s="18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426"/>
      <c r="CR67" s="426"/>
      <c r="CS67" s="426"/>
      <c r="CT67" s="426"/>
      <c r="CU67" s="426"/>
      <c r="CV67" s="426"/>
      <c r="CW67" s="426"/>
      <c r="CX67" s="426"/>
      <c r="CY67" s="426"/>
      <c r="CZ67" s="426"/>
      <c r="DA67" s="426"/>
      <c r="DB67" s="426"/>
      <c r="DC67" s="426"/>
    </row>
    <row r="68" spans="1:107" s="2" customFormat="1" ht="9" customHeight="1">
      <c r="A68" s="74"/>
      <c r="B68" s="593"/>
      <c r="C68" s="530"/>
      <c r="D68" s="342"/>
      <c r="E68" s="342"/>
      <c r="F68" s="342"/>
      <c r="G68" s="342"/>
      <c r="H68" s="342"/>
      <c r="I68" s="342"/>
      <c r="J68" s="342"/>
      <c r="K68" s="559"/>
      <c r="L68" s="342"/>
      <c r="M68" s="342"/>
      <c r="N68" s="342"/>
      <c r="O68" s="342"/>
      <c r="P68" s="342"/>
      <c r="Q68" s="342"/>
      <c r="R68" s="342"/>
      <c r="S68" s="342"/>
      <c r="T68" s="631"/>
      <c r="U68" s="632"/>
      <c r="V68" s="632"/>
      <c r="W68" s="632"/>
      <c r="X68" s="632"/>
      <c r="Y68" s="632"/>
      <c r="Z68" s="632"/>
      <c r="AA68" s="633"/>
      <c r="AB68" s="437"/>
      <c r="AC68" s="348"/>
      <c r="AD68" s="348"/>
      <c r="AE68" s="348"/>
      <c r="AF68" s="348"/>
      <c r="AG68" s="348"/>
      <c r="AH68" s="348"/>
      <c r="AI68" s="626"/>
      <c r="AJ68" s="437"/>
      <c r="AK68" s="348"/>
      <c r="AL68" s="348"/>
      <c r="AM68" s="348"/>
      <c r="AN68" s="348"/>
      <c r="AO68" s="348"/>
      <c r="AP68" s="348"/>
      <c r="AQ68" s="626"/>
      <c r="AR68" s="451"/>
      <c r="AS68" s="498"/>
      <c r="AT68" s="498"/>
      <c r="AU68" s="498"/>
      <c r="AV68" s="458"/>
      <c r="AW68" s="458"/>
      <c r="AX68" s="458"/>
      <c r="AY68" s="459"/>
      <c r="AZ68" s="73"/>
      <c r="BA68" s="3"/>
      <c r="BB68" s="3"/>
      <c r="BC68" s="3"/>
      <c r="BD68" s="3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426"/>
      <c r="CR68" s="426"/>
      <c r="CS68" s="426"/>
      <c r="CT68" s="426"/>
      <c r="CU68" s="426"/>
      <c r="CV68" s="426"/>
      <c r="CW68" s="426"/>
      <c r="CX68" s="426"/>
      <c r="CY68" s="426"/>
      <c r="CZ68" s="426"/>
      <c r="DA68" s="426"/>
      <c r="DB68" s="426"/>
      <c r="DC68" s="426"/>
    </row>
    <row r="69" spans="1:53" ht="15.75" customHeight="1">
      <c r="A69" s="16"/>
      <c r="C69" s="530" t="s">
        <v>841</v>
      </c>
      <c r="D69" s="342"/>
      <c r="E69" s="342"/>
      <c r="F69" s="342" t="str">
        <f>IF(C67="ここに","",VLOOKUP(C67,'登録ナンバー'!$A$1:$D$620,4,0))</f>
        <v>グリフィンズ</v>
      </c>
      <c r="G69" s="342"/>
      <c r="H69" s="342"/>
      <c r="I69" s="342"/>
      <c r="J69" s="342"/>
      <c r="K69" s="125"/>
      <c r="L69" s="559" t="s">
        <v>841</v>
      </c>
      <c r="M69" s="559"/>
      <c r="N69" s="559"/>
      <c r="O69" s="342" t="str">
        <f>IF(L67="ここに","",VLOOKUP(L67,'登録ナンバー'!$A$1:$D$620,4,0))</f>
        <v>TDC</v>
      </c>
      <c r="P69" s="342"/>
      <c r="Q69" s="342"/>
      <c r="R69" s="342"/>
      <c r="S69" s="637"/>
      <c r="T69" s="632"/>
      <c r="U69" s="632"/>
      <c r="V69" s="632"/>
      <c r="W69" s="632"/>
      <c r="X69" s="632"/>
      <c r="Y69" s="632"/>
      <c r="Z69" s="632"/>
      <c r="AA69" s="633"/>
      <c r="AB69" s="437"/>
      <c r="AC69" s="348"/>
      <c r="AD69" s="348"/>
      <c r="AE69" s="348"/>
      <c r="AF69" s="348"/>
      <c r="AG69" s="348"/>
      <c r="AH69" s="348"/>
      <c r="AI69" s="626"/>
      <c r="AJ69" s="437"/>
      <c r="AK69" s="348"/>
      <c r="AL69" s="348"/>
      <c r="AM69" s="348"/>
      <c r="AN69" s="348"/>
      <c r="AO69" s="348"/>
      <c r="AP69" s="348"/>
      <c r="AQ69" s="626"/>
      <c r="AR69" s="487">
        <f>IF(OR(COUNTIF(AS67:AU79,2)=3,COUNTIF(AS67:AU79,1)=3),(AB70+AJ70)/(AB70+AJ70+AF67+AN67),"")</f>
      </c>
      <c r="AS69" s="474"/>
      <c r="AT69" s="474"/>
      <c r="AU69" s="474"/>
      <c r="AV69" s="452">
        <f>IF(AR69&lt;&gt;"",RANK(AR69,AR69:AR82),RANK(AS67,AS67:AU80))</f>
        <v>1</v>
      </c>
      <c r="AW69" s="452"/>
      <c r="AX69" s="452"/>
      <c r="AY69" s="453"/>
      <c r="AZ69" s="62"/>
      <c r="BA69" s="10"/>
    </row>
    <row r="70" spans="1:53" ht="3" customHeight="1" hidden="1">
      <c r="A70" s="16"/>
      <c r="C70" s="531"/>
      <c r="D70" s="532"/>
      <c r="E70" s="532"/>
      <c r="F70" s="125"/>
      <c r="G70" s="125"/>
      <c r="H70" s="125"/>
      <c r="I70" s="125"/>
      <c r="J70" s="134"/>
      <c r="K70" s="125"/>
      <c r="L70" s="532"/>
      <c r="M70" s="532"/>
      <c r="N70" s="532"/>
      <c r="O70" s="125"/>
      <c r="P70" s="125"/>
      <c r="Q70" s="125"/>
      <c r="R70" s="126"/>
      <c r="S70" s="294"/>
      <c r="T70" s="634"/>
      <c r="U70" s="635"/>
      <c r="V70" s="635"/>
      <c r="W70" s="635"/>
      <c r="X70" s="635"/>
      <c r="Y70" s="635"/>
      <c r="Z70" s="635"/>
      <c r="AA70" s="636"/>
      <c r="AB70" s="35">
        <f>IF(AB67="⑦","7",IF(AB67="⑥","6",AB67))</f>
        <v>0</v>
      </c>
      <c r="AC70" s="36"/>
      <c r="AD70" s="36"/>
      <c r="AE70" s="36"/>
      <c r="AF70" s="36"/>
      <c r="AG70" s="36"/>
      <c r="AH70" s="36"/>
      <c r="AI70" s="36"/>
      <c r="AJ70" s="35" t="str">
        <f>IF(AJ67="⑦","7",IF(AJ67="⑥","6",AJ67))</f>
        <v>②</v>
      </c>
      <c r="AK70" s="36"/>
      <c r="AL70" s="36"/>
      <c r="AM70" s="36"/>
      <c r="AN70" s="36"/>
      <c r="AO70" s="36"/>
      <c r="AP70" s="36"/>
      <c r="AQ70" s="37"/>
      <c r="AR70" s="488"/>
      <c r="AS70" s="475"/>
      <c r="AT70" s="475"/>
      <c r="AU70" s="475"/>
      <c r="AV70" s="454"/>
      <c r="AW70" s="454"/>
      <c r="AX70" s="454"/>
      <c r="AY70" s="455"/>
      <c r="AZ70" s="62"/>
      <c r="BA70" s="10"/>
    </row>
    <row r="71" spans="1:98" ht="9" customHeight="1">
      <c r="A71" s="16"/>
      <c r="B71" s="593">
        <f>AV73</f>
        <v>1</v>
      </c>
      <c r="C71" s="529" t="s">
        <v>1702</v>
      </c>
      <c r="D71" s="350"/>
      <c r="E71" s="350"/>
      <c r="F71" s="350" t="str">
        <f>IF(C71="ここに","",VLOOKUP(C71,'登録ナンバー'!$A$1:$C$620,2,0))</f>
        <v>浜中</v>
      </c>
      <c r="G71" s="350"/>
      <c r="H71" s="350"/>
      <c r="I71" s="350"/>
      <c r="J71" s="350"/>
      <c r="K71" s="559" t="s">
        <v>837</v>
      </c>
      <c r="L71" s="350" t="s">
        <v>1720</v>
      </c>
      <c r="M71" s="350"/>
      <c r="N71" s="350"/>
      <c r="O71" s="350" t="str">
        <f>IF(L71="ここに","",VLOOKUP(L71,'登録ナンバー'!$A$1:$C$620,2,0))</f>
        <v>三浦</v>
      </c>
      <c r="P71" s="350"/>
      <c r="Q71" s="350"/>
      <c r="R71" s="350"/>
      <c r="S71" s="341"/>
      <c r="T71" s="344">
        <f>IF(AB67="","",IF(AND(AF67=6,AB67&lt;&gt;"⑦"),"⑥",IF(AF67=7,"⑦",AF67)))</f>
      </c>
      <c r="U71" s="424"/>
      <c r="V71" s="424"/>
      <c r="W71" s="424" t="s">
        <v>838</v>
      </c>
      <c r="X71" s="424">
        <f>IF(AB67="","",IF(AB67="⑥",6,IF(AB67="⑦",7,AB67)))</f>
      </c>
      <c r="Y71" s="424"/>
      <c r="Z71" s="424"/>
      <c r="AA71" s="425"/>
      <c r="AB71" s="601"/>
      <c r="AC71" s="602"/>
      <c r="AD71" s="602"/>
      <c r="AE71" s="602"/>
      <c r="AF71" s="602"/>
      <c r="AG71" s="602"/>
      <c r="AH71" s="602"/>
      <c r="AI71" s="602"/>
      <c r="AJ71" s="436" t="s">
        <v>842</v>
      </c>
      <c r="AK71" s="351"/>
      <c r="AL71" s="351"/>
      <c r="AM71" s="351" t="s">
        <v>838</v>
      </c>
      <c r="AN71" s="351"/>
      <c r="AO71" s="351"/>
      <c r="AP71" s="351"/>
      <c r="AQ71" s="625"/>
      <c r="AR71" s="450">
        <f>IF(COUNTIF(AS67:AU77,1)=2,"直接対決","")</f>
      </c>
      <c r="AS71" s="497">
        <f>COUNTIF(T71:AQ72,"⑥")+COUNTIF(T71:AQ72,"⑦")</f>
        <v>0</v>
      </c>
      <c r="AT71" s="497"/>
      <c r="AU71" s="497"/>
      <c r="AV71" s="456">
        <f>IF(AB67="","",2-AS71)</f>
      </c>
      <c r="AW71" s="456"/>
      <c r="AX71" s="456"/>
      <c r="AY71" s="457"/>
      <c r="AZ71" s="73"/>
      <c r="BA71" s="2"/>
      <c r="BC71" s="2"/>
      <c r="BD71" s="2"/>
      <c r="BE71" s="2"/>
      <c r="BF71" s="2"/>
      <c r="BG71" s="2"/>
      <c r="BH71" s="426" t="s">
        <v>860</v>
      </c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</row>
    <row r="72" spans="1:98" ht="9" customHeight="1">
      <c r="A72" s="16"/>
      <c r="B72" s="593"/>
      <c r="C72" s="530"/>
      <c r="D72" s="342"/>
      <c r="E72" s="342"/>
      <c r="F72" s="342"/>
      <c r="G72" s="342"/>
      <c r="H72" s="342"/>
      <c r="I72" s="342"/>
      <c r="J72" s="342"/>
      <c r="K72" s="559"/>
      <c r="L72" s="342"/>
      <c r="M72" s="342"/>
      <c r="N72" s="342"/>
      <c r="O72" s="342"/>
      <c r="P72" s="342"/>
      <c r="Q72" s="342"/>
      <c r="R72" s="342"/>
      <c r="S72" s="343"/>
      <c r="T72" s="345"/>
      <c r="U72" s="426"/>
      <c r="V72" s="426"/>
      <c r="W72" s="426"/>
      <c r="X72" s="426"/>
      <c r="Y72" s="426"/>
      <c r="Z72" s="426"/>
      <c r="AA72" s="427"/>
      <c r="AB72" s="604"/>
      <c r="AC72" s="605"/>
      <c r="AD72" s="605"/>
      <c r="AE72" s="605"/>
      <c r="AF72" s="605"/>
      <c r="AG72" s="605"/>
      <c r="AH72" s="605"/>
      <c r="AI72" s="605"/>
      <c r="AJ72" s="437"/>
      <c r="AK72" s="348"/>
      <c r="AL72" s="348"/>
      <c r="AM72" s="348"/>
      <c r="AN72" s="348"/>
      <c r="AO72" s="348"/>
      <c r="AP72" s="348"/>
      <c r="AQ72" s="626"/>
      <c r="AR72" s="451"/>
      <c r="AS72" s="498"/>
      <c r="AT72" s="498"/>
      <c r="AU72" s="498"/>
      <c r="AV72" s="458"/>
      <c r="AW72" s="458"/>
      <c r="AX72" s="458"/>
      <c r="AY72" s="459"/>
      <c r="AZ72" s="73"/>
      <c r="BC72" s="2"/>
      <c r="BD72" s="2"/>
      <c r="BE72" s="2"/>
      <c r="BF72" s="2"/>
      <c r="BG72" s="2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</row>
    <row r="73" spans="1:108" ht="14.25" customHeight="1">
      <c r="A73" s="16"/>
      <c r="B73" s="16"/>
      <c r="C73" s="530" t="s">
        <v>841</v>
      </c>
      <c r="D73" s="342"/>
      <c r="E73" s="342"/>
      <c r="F73" s="342" t="str">
        <f>IF(C71="ここに","",VLOOKUP(C71,'登録ナンバー'!$A$1:$D$620,4,0))</f>
        <v>Mut</v>
      </c>
      <c r="G73" s="342"/>
      <c r="H73" s="342"/>
      <c r="I73" s="342"/>
      <c r="J73" s="342"/>
      <c r="K73" s="125"/>
      <c r="L73" s="559" t="s">
        <v>841</v>
      </c>
      <c r="M73" s="559"/>
      <c r="N73" s="559"/>
      <c r="O73" s="342" t="str">
        <f>IF(L71="ここに","",VLOOKUP(L71,'登録ナンバー'!$A$1:$D$620,4,0))</f>
        <v>Mut</v>
      </c>
      <c r="P73" s="342"/>
      <c r="Q73" s="342"/>
      <c r="R73" s="342"/>
      <c r="S73" s="637"/>
      <c r="T73" s="426"/>
      <c r="U73" s="426"/>
      <c r="V73" s="426"/>
      <c r="W73" s="426"/>
      <c r="X73" s="426"/>
      <c r="Y73" s="426"/>
      <c r="Z73" s="426"/>
      <c r="AA73" s="427"/>
      <c r="AB73" s="604"/>
      <c r="AC73" s="605"/>
      <c r="AD73" s="605"/>
      <c r="AE73" s="605"/>
      <c r="AF73" s="605"/>
      <c r="AG73" s="605"/>
      <c r="AH73" s="605"/>
      <c r="AI73" s="605"/>
      <c r="AJ73" s="437"/>
      <c r="AK73" s="348"/>
      <c r="AL73" s="348"/>
      <c r="AM73" s="348"/>
      <c r="AN73" s="435"/>
      <c r="AO73" s="435"/>
      <c r="AP73" s="435"/>
      <c r="AQ73" s="627"/>
      <c r="AR73" s="487">
        <f>IF(OR(COUNTIF(AS67:AU79,2)=3,COUNTIF(AS67:AU79,1)=3),(T74+AJ74)/(T74+AJ74+X71+AN71),"")</f>
      </c>
      <c r="AS73" s="426"/>
      <c r="AT73" s="426"/>
      <c r="AU73" s="426"/>
      <c r="AV73" s="452">
        <f>IF(AR73&lt;&gt;"",RANK(AR73,AR69:AR82),RANK(AS71,AS67:AU80))</f>
        <v>1</v>
      </c>
      <c r="AW73" s="452"/>
      <c r="AX73" s="452"/>
      <c r="AY73" s="453"/>
      <c r="AZ73" s="62"/>
      <c r="BC73" s="2"/>
      <c r="BE73" s="426" t="str">
        <f>IF($AB$10="","リーグ1",VLOOKUP(3,$B$10:$S$21,5,FALSE))</f>
        <v>リーグ1</v>
      </c>
      <c r="BF73" s="426"/>
      <c r="BG73" s="426"/>
      <c r="BH73" s="426"/>
      <c r="BI73" s="426"/>
      <c r="BJ73" s="426"/>
      <c r="BK73" s="426"/>
      <c r="BL73" s="426">
        <f>IF($AB$10="","",VLOOKUP(3,$B$10:$S$21,14,FALSE))</f>
      </c>
      <c r="BM73" s="426"/>
      <c r="BN73" s="426"/>
      <c r="BO73" s="426"/>
      <c r="BP73" s="426"/>
      <c r="BQ73" s="426"/>
      <c r="BR73" s="426"/>
      <c r="BS73" s="17"/>
      <c r="BT73" s="17"/>
      <c r="BU73" s="17"/>
      <c r="CA73" s="383" t="s">
        <v>847</v>
      </c>
      <c r="CB73" s="383"/>
      <c r="CC73" s="383"/>
      <c r="CD73" s="383"/>
      <c r="CE73" s="383"/>
      <c r="CF73" s="383"/>
      <c r="CL73" s="17"/>
      <c r="CM73" s="17"/>
      <c r="CN73" s="17"/>
      <c r="CO73" s="17"/>
      <c r="CP73" s="17"/>
      <c r="CQ73" s="426" t="str">
        <f>IF($AB$67="","リーグ4",VLOOKUP(3,$B$67:$S$76,5,FALSE))</f>
        <v>リーグ4</v>
      </c>
      <c r="CR73" s="426"/>
      <c r="CS73" s="426"/>
      <c r="CT73" s="426"/>
      <c r="CU73" s="426"/>
      <c r="CV73" s="426"/>
      <c r="CW73" s="426"/>
      <c r="CX73" s="426"/>
      <c r="CY73" s="426">
        <f>IF($AB$67="","",VLOOKUP(3,$B$67:$S$76,14,FALSE))</f>
      </c>
      <c r="CZ73" s="426"/>
      <c r="DA73" s="426"/>
      <c r="DB73" s="426"/>
      <c r="DC73" s="426"/>
      <c r="DD73" s="426"/>
    </row>
    <row r="74" spans="1:108" ht="3.75" customHeight="1" hidden="1">
      <c r="A74" s="16"/>
      <c r="B74" s="16"/>
      <c r="C74" s="531"/>
      <c r="D74" s="532"/>
      <c r="E74" s="532"/>
      <c r="F74" s="125"/>
      <c r="G74" s="125"/>
      <c r="H74" s="125"/>
      <c r="I74" s="125"/>
      <c r="J74" s="134"/>
      <c r="K74" s="125"/>
      <c r="L74" s="532"/>
      <c r="M74" s="532"/>
      <c r="N74" s="532"/>
      <c r="O74" s="125"/>
      <c r="P74" s="125"/>
      <c r="Q74" s="125"/>
      <c r="R74" s="126"/>
      <c r="S74" s="294"/>
      <c r="T74" s="35">
        <f>IF(T71="⑦","7",IF(T71="⑥","6",T71))</f>
      </c>
      <c r="U74" s="11"/>
      <c r="V74" s="11"/>
      <c r="W74" s="11"/>
      <c r="X74" s="11"/>
      <c r="Y74" s="11"/>
      <c r="Z74" s="11"/>
      <c r="AA74" s="39"/>
      <c r="AB74" s="607"/>
      <c r="AC74" s="608"/>
      <c r="AD74" s="608"/>
      <c r="AE74" s="608"/>
      <c r="AF74" s="608"/>
      <c r="AG74" s="608"/>
      <c r="AH74" s="608"/>
      <c r="AI74" s="608"/>
      <c r="AJ74" s="35" t="str">
        <f>IF(AJ71="⑦","7",IF(AJ71="⑥","6",AJ71))</f>
        <v>①</v>
      </c>
      <c r="AK74" s="36"/>
      <c r="AL74" s="36"/>
      <c r="AM74" s="36"/>
      <c r="AN74" s="36"/>
      <c r="AO74" s="36"/>
      <c r="AP74" s="36"/>
      <c r="AQ74" s="37"/>
      <c r="AR74" s="488"/>
      <c r="AS74" s="499"/>
      <c r="AT74" s="499"/>
      <c r="AU74" s="499"/>
      <c r="AV74" s="454"/>
      <c r="AW74" s="454"/>
      <c r="AX74" s="454"/>
      <c r="AY74" s="455"/>
      <c r="AZ74" s="62"/>
      <c r="BC74" s="2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18"/>
      <c r="BT74" s="18"/>
      <c r="BU74" s="19"/>
      <c r="BV74" s="18"/>
      <c r="BW74" s="18"/>
      <c r="BX74" s="18"/>
      <c r="BY74" s="18"/>
      <c r="BZ74" s="18"/>
      <c r="CA74" s="383"/>
      <c r="CB74" s="383"/>
      <c r="CC74" s="383"/>
      <c r="CD74" s="383"/>
      <c r="CE74" s="383"/>
      <c r="CF74" s="383"/>
      <c r="CG74" s="18"/>
      <c r="CH74" s="17"/>
      <c r="CI74" s="17"/>
      <c r="CJ74" s="17"/>
      <c r="CK74" s="28"/>
      <c r="CL74" s="18"/>
      <c r="CM74" s="18"/>
      <c r="CN74" s="18"/>
      <c r="CO74" s="18"/>
      <c r="CP74" s="18"/>
      <c r="CQ74" s="426"/>
      <c r="CR74" s="426"/>
      <c r="CS74" s="426"/>
      <c r="CT74" s="426"/>
      <c r="CU74" s="426"/>
      <c r="CV74" s="426"/>
      <c r="CW74" s="426"/>
      <c r="CX74" s="426"/>
      <c r="CY74" s="426"/>
      <c r="CZ74" s="426"/>
      <c r="DA74" s="426"/>
      <c r="DB74" s="426"/>
      <c r="DC74" s="426"/>
      <c r="DD74" s="426"/>
    </row>
    <row r="75" spans="1:108" ht="9" customHeight="1" thickBot="1">
      <c r="A75" s="16"/>
      <c r="B75" s="593">
        <f>AV77</f>
        <v>1</v>
      </c>
      <c r="C75" s="529" t="s">
        <v>1705</v>
      </c>
      <c r="D75" s="350"/>
      <c r="E75" s="350"/>
      <c r="F75" s="350" t="str">
        <f>IF(C75="ここに","",VLOOKUP(C75,'登録ナンバー'!$A$1:$C$620,2,0))</f>
        <v>押谷</v>
      </c>
      <c r="G75" s="350"/>
      <c r="H75" s="350"/>
      <c r="I75" s="350"/>
      <c r="J75" s="350"/>
      <c r="K75" s="559" t="s">
        <v>837</v>
      </c>
      <c r="L75" s="350" t="s">
        <v>1721</v>
      </c>
      <c r="M75" s="350"/>
      <c r="N75" s="350"/>
      <c r="O75" s="350" t="str">
        <f>IF(L75="ここに","",VLOOKUP(L75,'登録ナンバー'!$A$1:$C$620,2,0))</f>
        <v>福永</v>
      </c>
      <c r="P75" s="350"/>
      <c r="Q75" s="350"/>
      <c r="R75" s="350"/>
      <c r="S75" s="341"/>
      <c r="T75" s="344">
        <f>IF(AN67="","",IF(AND(AN67=6,AJ67&lt;&gt;"⑦"),"⑥",IF(AN67=7,"⑦",AN67)))</f>
      </c>
      <c r="U75" s="424"/>
      <c r="V75" s="424"/>
      <c r="W75" s="424" t="s">
        <v>838</v>
      </c>
      <c r="X75" s="424">
        <f>IF(AN67="","",IF(AJ67="⑥",6,IF(AJ67="⑦",7,AJ67)))</f>
      </c>
      <c r="Y75" s="424"/>
      <c r="Z75" s="424"/>
      <c r="AA75" s="425"/>
      <c r="AB75" s="344">
        <f>IF(AN71="","",IF(AND(AN71=6,AJ71&lt;&gt;"⑦"),"⑥",IF(AN71=7,"⑦",AN71)))</f>
      </c>
      <c r="AC75" s="424"/>
      <c r="AD75" s="424"/>
      <c r="AE75" s="424" t="s">
        <v>838</v>
      </c>
      <c r="AF75" s="424">
        <f>IF(AN71="","",IF(AJ71="⑥",6,IF(AJ71="⑦",7,AJ71)))</f>
      </c>
      <c r="AG75" s="424"/>
      <c r="AH75" s="424"/>
      <c r="AI75" s="425"/>
      <c r="AJ75" s="476"/>
      <c r="AK75" s="477"/>
      <c r="AL75" s="477"/>
      <c r="AM75" s="477"/>
      <c r="AN75" s="477"/>
      <c r="AO75" s="477"/>
      <c r="AP75" s="480"/>
      <c r="AQ75" s="481"/>
      <c r="AR75" s="450">
        <f>IF(COUNTIF(AS67:AU77,1)=2,"直接対決","")</f>
      </c>
      <c r="AS75" s="497">
        <f>COUNTIF(T75:AQ76,"⑥")+COUNTIF(T75:AQ76,"⑦")</f>
        <v>0</v>
      </c>
      <c r="AT75" s="497"/>
      <c r="AU75" s="497"/>
      <c r="AV75" s="456">
        <f>IF(AB67="","",2-AS75)</f>
      </c>
      <c r="AW75" s="456"/>
      <c r="AX75" s="456"/>
      <c r="AY75" s="457"/>
      <c r="AZ75" s="73"/>
      <c r="BB75" s="2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639" t="s">
        <v>1309</v>
      </c>
      <c r="BT75" s="640"/>
      <c r="BU75" s="641"/>
      <c r="BV75" s="30"/>
      <c r="BW75" s="18"/>
      <c r="BX75" s="18"/>
      <c r="BY75" s="18"/>
      <c r="BZ75" s="18"/>
      <c r="CA75" s="383"/>
      <c r="CB75" s="383"/>
      <c r="CC75" s="383"/>
      <c r="CD75" s="383"/>
      <c r="CE75" s="383"/>
      <c r="CF75" s="383"/>
      <c r="CG75" s="18"/>
      <c r="CH75" s="21"/>
      <c r="CI75" s="21"/>
      <c r="CJ75" s="21"/>
      <c r="CK75" s="22"/>
      <c r="CL75" s="651" t="s">
        <v>1733</v>
      </c>
      <c r="CM75" s="640"/>
      <c r="CN75" s="640"/>
      <c r="CO75" s="18"/>
      <c r="CP75" s="18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  <c r="DD75" s="426"/>
    </row>
    <row r="76" spans="1:101" ht="9" customHeight="1">
      <c r="A76" s="16"/>
      <c r="B76" s="593"/>
      <c r="C76" s="530"/>
      <c r="D76" s="342"/>
      <c r="E76" s="342"/>
      <c r="F76" s="342"/>
      <c r="G76" s="342"/>
      <c r="H76" s="342"/>
      <c r="I76" s="342"/>
      <c r="J76" s="342"/>
      <c r="K76" s="559"/>
      <c r="L76" s="342"/>
      <c r="M76" s="342"/>
      <c r="N76" s="342"/>
      <c r="O76" s="342"/>
      <c r="P76" s="342"/>
      <c r="Q76" s="342"/>
      <c r="R76" s="342"/>
      <c r="S76" s="343"/>
      <c r="T76" s="345"/>
      <c r="U76" s="426"/>
      <c r="V76" s="426"/>
      <c r="W76" s="426"/>
      <c r="X76" s="426"/>
      <c r="Y76" s="426"/>
      <c r="Z76" s="426"/>
      <c r="AA76" s="427"/>
      <c r="AB76" s="345"/>
      <c r="AC76" s="426"/>
      <c r="AD76" s="426"/>
      <c r="AE76" s="426"/>
      <c r="AF76" s="426"/>
      <c r="AG76" s="426"/>
      <c r="AH76" s="426"/>
      <c r="AI76" s="427"/>
      <c r="AJ76" s="479"/>
      <c r="AK76" s="480"/>
      <c r="AL76" s="480"/>
      <c r="AM76" s="480"/>
      <c r="AN76" s="480"/>
      <c r="AO76" s="480"/>
      <c r="AP76" s="480"/>
      <c r="AQ76" s="481"/>
      <c r="AR76" s="451"/>
      <c r="AS76" s="498"/>
      <c r="AT76" s="498"/>
      <c r="AU76" s="498"/>
      <c r="AV76" s="458"/>
      <c r="AW76" s="458"/>
      <c r="AX76" s="458"/>
      <c r="AY76" s="459"/>
      <c r="AZ76" s="73"/>
      <c r="BB76" s="2"/>
      <c r="BE76" s="2"/>
      <c r="BF76" s="2"/>
      <c r="BG76" s="2"/>
      <c r="BH76" s="2"/>
      <c r="BI76" s="2"/>
      <c r="BJ76" s="2"/>
      <c r="BK76" s="295"/>
      <c r="BL76" s="295"/>
      <c r="BM76" s="295"/>
      <c r="BN76" s="295"/>
      <c r="BO76" s="295"/>
      <c r="BP76" s="295"/>
      <c r="BQ76" s="295"/>
      <c r="BR76" s="295"/>
      <c r="BS76" s="590"/>
      <c r="BT76" s="590"/>
      <c r="BU76" s="642"/>
      <c r="BV76" s="344"/>
      <c r="BW76" s="424"/>
      <c r="BX76" s="424"/>
      <c r="BY76" s="425"/>
      <c r="BZ76" s="23"/>
      <c r="CC76" s="9"/>
      <c r="CG76" s="24"/>
      <c r="CH76" s="426"/>
      <c r="CI76" s="426"/>
      <c r="CJ76" s="426"/>
      <c r="CK76" s="427"/>
      <c r="CL76" s="595"/>
      <c r="CM76" s="590"/>
      <c r="CN76" s="590"/>
      <c r="CO76" s="18"/>
      <c r="CP76" s="18"/>
      <c r="CQ76" s="18"/>
      <c r="CR76" s="18"/>
      <c r="CS76" s="18"/>
      <c r="CT76" s="18"/>
      <c r="CU76" s="18"/>
      <c r="CV76" s="18"/>
      <c r="CW76" s="2"/>
    </row>
    <row r="77" spans="1:108" ht="15" customHeight="1" thickBot="1">
      <c r="A77" s="16"/>
      <c r="B77" s="16"/>
      <c r="C77" s="530" t="s">
        <v>841</v>
      </c>
      <c r="D77" s="342"/>
      <c r="E77" s="342"/>
      <c r="F77" s="342" t="str">
        <f>IF(C75="ここに","",VLOOKUP(C75,'登録ナンバー'!$A$1:$D$620,4,0))</f>
        <v>ぼんズ</v>
      </c>
      <c r="G77" s="342"/>
      <c r="H77" s="342"/>
      <c r="I77" s="342"/>
      <c r="J77" s="342"/>
      <c r="K77" s="125"/>
      <c r="L77" s="559" t="s">
        <v>841</v>
      </c>
      <c r="M77" s="559"/>
      <c r="N77" s="559"/>
      <c r="O77" s="342" t="str">
        <f>IF(L75="ここに","",VLOOKUP(L75,'登録ナンバー'!$A$1:$D$620,4,0))</f>
        <v>Kテニス</v>
      </c>
      <c r="P77" s="342"/>
      <c r="Q77" s="342"/>
      <c r="R77" s="342"/>
      <c r="S77" s="637"/>
      <c r="T77" s="426"/>
      <c r="U77" s="426"/>
      <c r="V77" s="426"/>
      <c r="W77" s="426"/>
      <c r="X77" s="499"/>
      <c r="Y77" s="499"/>
      <c r="Z77" s="499"/>
      <c r="AA77" s="538"/>
      <c r="AB77" s="345"/>
      <c r="AC77" s="426"/>
      <c r="AD77" s="426"/>
      <c r="AE77" s="426"/>
      <c r="AF77" s="426"/>
      <c r="AG77" s="426"/>
      <c r="AH77" s="426"/>
      <c r="AI77" s="427"/>
      <c r="AJ77" s="479"/>
      <c r="AK77" s="480"/>
      <c r="AL77" s="480"/>
      <c r="AM77" s="480"/>
      <c r="AN77" s="480"/>
      <c r="AO77" s="480"/>
      <c r="AP77" s="480"/>
      <c r="AQ77" s="481"/>
      <c r="AR77" s="487">
        <f>IF(OR(COUNTIF(AS67:AU79,2)=3,COUNTIF(AS67:AU79,1)=3),(AB78+T78)/(T78+AF75+X75+AB78),"")</f>
      </c>
      <c r="AS77" s="474"/>
      <c r="AT77" s="474"/>
      <c r="AU77" s="474"/>
      <c r="AV77" s="452">
        <f>IF(AR77&lt;&gt;"",RANK(AR77,AR69:AR82),RANK(AS75,AS67:AU80))</f>
        <v>1</v>
      </c>
      <c r="AW77" s="452"/>
      <c r="AX77" s="452"/>
      <c r="AY77" s="453"/>
      <c r="AZ77" s="62"/>
      <c r="BA77" s="10"/>
      <c r="BE77" s="426" t="s">
        <v>1731</v>
      </c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S77" s="590"/>
      <c r="BT77" s="590"/>
      <c r="BU77" s="642"/>
      <c r="BV77" s="345"/>
      <c r="BW77" s="426"/>
      <c r="BX77" s="426"/>
      <c r="BY77" s="427"/>
      <c r="CA77" s="426"/>
      <c r="CB77" s="426"/>
      <c r="CC77" s="426"/>
      <c r="CD77" s="426"/>
      <c r="CE77" s="426"/>
      <c r="CF77" s="426"/>
      <c r="CG77" s="24"/>
      <c r="CH77" s="426"/>
      <c r="CI77" s="426"/>
      <c r="CJ77" s="426"/>
      <c r="CK77" s="427"/>
      <c r="CL77" s="595"/>
      <c r="CM77" s="590"/>
      <c r="CN77" s="590"/>
      <c r="CO77" s="17"/>
      <c r="CP77" s="17"/>
      <c r="CQ77" s="426" t="str">
        <f>IF($AB$86="","リーグ５",VLOOKUP(3,$B$86:$S$95,5,FALSE))</f>
        <v>リーグ５</v>
      </c>
      <c r="CR77" s="426"/>
      <c r="CS77" s="426"/>
      <c r="CT77" s="426"/>
      <c r="CU77" s="426"/>
      <c r="CV77" s="426"/>
      <c r="CW77" s="426"/>
      <c r="CX77" s="426"/>
      <c r="CY77" s="426">
        <f>IF($AB$86="","",VLOOKUP(3,$B$86:$S$95,14,FALSE))</f>
      </c>
      <c r="CZ77" s="426"/>
      <c r="DA77" s="426"/>
      <c r="DB77" s="426"/>
      <c r="DC77" s="426"/>
      <c r="DD77" s="426"/>
    </row>
    <row r="78" spans="2:108" ht="4.5" customHeight="1" hidden="1">
      <c r="B78" s="16"/>
      <c r="C78" s="531"/>
      <c r="D78" s="532"/>
      <c r="E78" s="532"/>
      <c r="F78" s="125"/>
      <c r="G78" s="125"/>
      <c r="H78" s="125"/>
      <c r="I78" s="125"/>
      <c r="J78" s="125"/>
      <c r="K78" s="125"/>
      <c r="L78" s="532"/>
      <c r="M78" s="532"/>
      <c r="N78" s="532"/>
      <c r="O78" s="125"/>
      <c r="P78" s="125"/>
      <c r="Q78" s="125"/>
      <c r="R78" s="126"/>
      <c r="S78" s="294"/>
      <c r="T78" s="56">
        <f>IF(T75="⑦","7",IF(T75="⑥","6",T75))</f>
      </c>
      <c r="AA78" s="24"/>
      <c r="AB78" s="56">
        <f>IF(AB75="⑦","7",IF(AB75="⑥","6",AB75))</f>
      </c>
      <c r="AJ78" s="482"/>
      <c r="AK78" s="483"/>
      <c r="AL78" s="483"/>
      <c r="AM78" s="483"/>
      <c r="AN78" s="483"/>
      <c r="AO78" s="483"/>
      <c r="AP78" s="483"/>
      <c r="AQ78" s="484"/>
      <c r="AR78" s="487"/>
      <c r="AS78" s="474"/>
      <c r="AT78" s="474"/>
      <c r="AU78" s="474"/>
      <c r="AV78" s="452"/>
      <c r="AW78" s="452"/>
      <c r="AX78" s="452"/>
      <c r="AY78" s="453"/>
      <c r="AZ78" s="62"/>
      <c r="BA78" s="2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S78" s="643"/>
      <c r="BT78" s="643"/>
      <c r="BU78" s="644"/>
      <c r="BY78" s="24"/>
      <c r="CA78" s="426"/>
      <c r="CB78" s="426"/>
      <c r="CC78" s="426"/>
      <c r="CD78" s="426"/>
      <c r="CE78" s="426"/>
      <c r="CF78" s="426"/>
      <c r="CG78" s="24"/>
      <c r="CL78" s="652"/>
      <c r="CM78" s="643"/>
      <c r="CN78" s="643"/>
      <c r="CO78" s="18"/>
      <c r="CP78" s="18"/>
      <c r="CQ78" s="426"/>
      <c r="CR78" s="426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  <c r="DD78" s="426"/>
    </row>
    <row r="79" spans="3:108" ht="9" customHeight="1" thickBo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295"/>
      <c r="BS79" s="48"/>
      <c r="BT79" s="48"/>
      <c r="BU79" s="48"/>
      <c r="BX79" s="426"/>
      <c r="BY79" s="427"/>
      <c r="BZ79" s="8"/>
      <c r="CA79" s="11"/>
      <c r="CB79" s="11"/>
      <c r="CC79" s="41"/>
      <c r="CD79" s="42"/>
      <c r="CE79" s="11"/>
      <c r="CF79" s="11"/>
      <c r="CG79" s="43"/>
      <c r="CH79" s="426"/>
      <c r="CI79" s="426"/>
      <c r="CJ79" s="2"/>
      <c r="CL79" s="26"/>
      <c r="CM79" s="26"/>
      <c r="CN79" s="26"/>
      <c r="CO79" s="18"/>
      <c r="CP79" s="18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</row>
    <row r="80" spans="3:101" ht="9" customHeight="1">
      <c r="C80" s="426" t="s">
        <v>7</v>
      </c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2"/>
      <c r="AZ80" s="2"/>
      <c r="BK80" s="295"/>
      <c r="BL80" s="295"/>
      <c r="BM80" s="295"/>
      <c r="BN80" s="295"/>
      <c r="BO80" s="295"/>
      <c r="BP80" s="295"/>
      <c r="BQ80" s="295"/>
      <c r="BR80" s="295"/>
      <c r="BS80" s="18"/>
      <c r="BT80" s="18"/>
      <c r="BU80" s="18"/>
      <c r="BX80" s="426"/>
      <c r="BY80" s="427"/>
      <c r="BZ80" s="426"/>
      <c r="CA80" s="426"/>
      <c r="CB80" s="426"/>
      <c r="CC80" s="426"/>
      <c r="CD80" s="426"/>
      <c r="CE80" s="426"/>
      <c r="CF80" s="426"/>
      <c r="CG80" s="427"/>
      <c r="CH80" s="426"/>
      <c r="CI80" s="426"/>
      <c r="CJ80" s="2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2"/>
    </row>
    <row r="81" spans="3:102" ht="9" customHeight="1" thickBot="1"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  <c r="AM81" s="428"/>
      <c r="AN81" s="428"/>
      <c r="AO81" s="428"/>
      <c r="AP81" s="428"/>
      <c r="AQ81" s="428"/>
      <c r="AR81" s="428"/>
      <c r="AS81" s="428"/>
      <c r="AT81" s="428"/>
      <c r="AU81" s="428"/>
      <c r="AV81" s="428"/>
      <c r="AW81" s="428"/>
      <c r="AX81" s="428"/>
      <c r="AY81" s="2"/>
      <c r="AZ81" s="2"/>
      <c r="BA81" s="2"/>
      <c r="BE81" s="426" t="str">
        <f>IF($AB$29="","リーグ2",VLOOKUP(3,$B$29:$S$40,5,FALSE))</f>
        <v>リーグ2</v>
      </c>
      <c r="BF81" s="426"/>
      <c r="BG81" s="426"/>
      <c r="BH81" s="426"/>
      <c r="BI81" s="426"/>
      <c r="BJ81" s="426"/>
      <c r="BK81" s="426"/>
      <c r="BL81" s="426">
        <f>IF($AB$29="","",VLOOKUP(3,$B$29:$S$40,14,FALSE))</f>
      </c>
      <c r="BM81" s="426"/>
      <c r="BN81" s="426"/>
      <c r="BO81" s="426"/>
      <c r="BP81" s="426"/>
      <c r="BQ81" s="426"/>
      <c r="BR81" s="426"/>
      <c r="BS81" s="40"/>
      <c r="BT81" s="17"/>
      <c r="BU81" s="17"/>
      <c r="BY81" s="24"/>
      <c r="BZ81" s="426"/>
      <c r="CA81" s="426"/>
      <c r="CB81" s="426"/>
      <c r="CC81" s="426"/>
      <c r="CD81" s="426"/>
      <c r="CE81" s="426"/>
      <c r="CF81" s="426"/>
      <c r="CG81" s="427"/>
      <c r="CL81" s="17"/>
      <c r="CM81" s="17"/>
      <c r="CN81" s="17"/>
      <c r="CO81" s="17"/>
      <c r="CP81" s="17"/>
      <c r="CQ81" s="426" t="s">
        <v>855</v>
      </c>
      <c r="CR81" s="426"/>
      <c r="CS81" s="426"/>
      <c r="CT81" s="426"/>
      <c r="CU81" s="426"/>
      <c r="CV81" s="426"/>
      <c r="CW81" s="426"/>
      <c r="CX81" s="426"/>
    </row>
    <row r="82" spans="1:102" ht="9" customHeight="1">
      <c r="A82" s="16"/>
      <c r="B82" s="16"/>
      <c r="C82" s="562" t="s">
        <v>856</v>
      </c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7"/>
      <c r="T82" s="517" t="str">
        <f>F86</f>
        <v>岡川</v>
      </c>
      <c r="U82" s="518"/>
      <c r="V82" s="518"/>
      <c r="W82" s="518"/>
      <c r="X82" s="518"/>
      <c r="Y82" s="518"/>
      <c r="Z82" s="518"/>
      <c r="AA82" s="568"/>
      <c r="AB82" s="345" t="str">
        <f>F90</f>
        <v>渡邉</v>
      </c>
      <c r="AC82" s="426"/>
      <c r="AD82" s="426"/>
      <c r="AE82" s="426"/>
      <c r="AF82" s="426"/>
      <c r="AG82" s="426"/>
      <c r="AH82" s="426"/>
      <c r="AI82" s="426"/>
      <c r="AJ82" s="517" t="str">
        <f>F94</f>
        <v>野上</v>
      </c>
      <c r="AK82" s="518"/>
      <c r="AL82" s="518"/>
      <c r="AM82" s="518"/>
      <c r="AN82" s="518"/>
      <c r="AO82" s="518"/>
      <c r="AP82" s="518"/>
      <c r="AQ82" s="519"/>
      <c r="AR82" s="513">
        <f>IF(AR88&lt;&gt;"","取得","")</f>
      </c>
      <c r="AS82" s="55"/>
      <c r="AT82" s="518" t="s">
        <v>834</v>
      </c>
      <c r="AU82" s="518"/>
      <c r="AV82" s="518"/>
      <c r="AW82" s="518"/>
      <c r="AX82" s="518"/>
      <c r="AY82" s="521"/>
      <c r="AZ82" s="2"/>
      <c r="BA82" s="2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639" t="s">
        <v>1732</v>
      </c>
      <c r="BT82" s="640"/>
      <c r="BU82" s="641"/>
      <c r="BV82" s="23"/>
      <c r="BY82" s="24"/>
      <c r="CG82" s="24"/>
      <c r="CH82" s="23"/>
      <c r="CK82" s="24"/>
      <c r="CL82" s="18"/>
      <c r="CM82" s="18"/>
      <c r="CN82" s="18"/>
      <c r="CO82" s="18"/>
      <c r="CP82" s="18"/>
      <c r="CQ82" s="426"/>
      <c r="CR82" s="426"/>
      <c r="CS82" s="426"/>
      <c r="CT82" s="426"/>
      <c r="CU82" s="426"/>
      <c r="CV82" s="426"/>
      <c r="CW82" s="426"/>
      <c r="CX82" s="426"/>
    </row>
    <row r="83" spans="1:102" ht="9" customHeight="1">
      <c r="A83" s="16"/>
      <c r="C83" s="562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7"/>
      <c r="T83" s="345"/>
      <c r="U83" s="426"/>
      <c r="V83" s="426"/>
      <c r="W83" s="426"/>
      <c r="X83" s="426"/>
      <c r="Y83" s="426"/>
      <c r="Z83" s="426"/>
      <c r="AA83" s="427"/>
      <c r="AB83" s="345"/>
      <c r="AC83" s="426"/>
      <c r="AD83" s="426"/>
      <c r="AE83" s="426"/>
      <c r="AF83" s="426"/>
      <c r="AG83" s="426"/>
      <c r="AH83" s="426"/>
      <c r="AI83" s="426"/>
      <c r="AJ83" s="345"/>
      <c r="AK83" s="426"/>
      <c r="AL83" s="426"/>
      <c r="AM83" s="426"/>
      <c r="AN83" s="426"/>
      <c r="AO83" s="426"/>
      <c r="AP83" s="426"/>
      <c r="AQ83" s="520"/>
      <c r="AR83" s="502"/>
      <c r="AT83" s="426"/>
      <c r="AU83" s="426"/>
      <c r="AV83" s="426"/>
      <c r="AW83" s="426"/>
      <c r="AX83" s="426"/>
      <c r="AY83" s="500"/>
      <c r="AZ83" s="2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590"/>
      <c r="BT83" s="590"/>
      <c r="BU83" s="642"/>
      <c r="BV83" s="8"/>
      <c r="BW83" s="8"/>
      <c r="BX83" s="8"/>
      <c r="BY83" s="43"/>
      <c r="CA83" s="2"/>
      <c r="CB83" s="2"/>
      <c r="CC83" s="2"/>
      <c r="CD83" s="2"/>
      <c r="CE83" s="2"/>
      <c r="CF83" s="2"/>
      <c r="CG83" s="24"/>
      <c r="CH83" s="8"/>
      <c r="CI83" s="8"/>
      <c r="CJ83" s="8"/>
      <c r="CK83" s="43"/>
      <c r="CL83" s="590"/>
      <c r="CM83" s="590"/>
      <c r="CN83" s="18"/>
      <c r="CO83" s="18"/>
      <c r="CP83" s="18"/>
      <c r="CQ83" s="426"/>
      <c r="CR83" s="426"/>
      <c r="CS83" s="426"/>
      <c r="CT83" s="426"/>
      <c r="CU83" s="426"/>
      <c r="CV83" s="426"/>
      <c r="CW83" s="426"/>
      <c r="CX83" s="426"/>
    </row>
    <row r="84" spans="1:102" ht="9" customHeight="1">
      <c r="A84" s="16"/>
      <c r="C84" s="562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7"/>
      <c r="T84" s="345" t="str">
        <f>O86</f>
        <v>速水</v>
      </c>
      <c r="U84" s="426"/>
      <c r="V84" s="426"/>
      <c r="W84" s="426"/>
      <c r="X84" s="426"/>
      <c r="Y84" s="426"/>
      <c r="Z84" s="426"/>
      <c r="AA84" s="427"/>
      <c r="AB84" s="345" t="str">
        <f>O90</f>
        <v>北川　</v>
      </c>
      <c r="AC84" s="426"/>
      <c r="AD84" s="426"/>
      <c r="AE84" s="426"/>
      <c r="AF84" s="426"/>
      <c r="AG84" s="426"/>
      <c r="AH84" s="426"/>
      <c r="AI84" s="426"/>
      <c r="AJ84" s="345" t="str">
        <f>O94</f>
        <v>丸山</v>
      </c>
      <c r="AK84" s="426"/>
      <c r="AL84" s="426"/>
      <c r="AM84" s="426"/>
      <c r="AN84" s="426"/>
      <c r="AO84" s="426"/>
      <c r="AP84" s="426"/>
      <c r="AQ84" s="427"/>
      <c r="AR84" s="502">
        <f>IF(AR88&lt;&gt;"","ゲーム率","")</f>
      </c>
      <c r="AS84" s="426"/>
      <c r="AT84" s="426" t="s">
        <v>835</v>
      </c>
      <c r="AU84" s="426"/>
      <c r="AV84" s="426"/>
      <c r="AW84" s="426"/>
      <c r="AX84" s="426"/>
      <c r="AY84" s="500"/>
      <c r="AZ84" s="2"/>
      <c r="BA84" s="10"/>
      <c r="BS84" s="590"/>
      <c r="BT84" s="590"/>
      <c r="BU84" s="642"/>
      <c r="BV84" s="426"/>
      <c r="BW84" s="426"/>
      <c r="BX84" s="426"/>
      <c r="BY84" s="426"/>
      <c r="BZ84" s="426"/>
      <c r="CA84" s="2"/>
      <c r="CB84" s="2"/>
      <c r="CC84" s="2"/>
      <c r="CD84" s="2"/>
      <c r="CE84" s="2"/>
      <c r="CF84" s="2"/>
      <c r="CG84" s="18"/>
      <c r="CH84" s="426"/>
      <c r="CI84" s="426"/>
      <c r="CJ84" s="426"/>
      <c r="CK84" s="427"/>
      <c r="CL84" s="590"/>
      <c r="CM84" s="590"/>
      <c r="CN84" s="18"/>
      <c r="CO84" s="18"/>
      <c r="CP84" s="18"/>
      <c r="CQ84" s="426"/>
      <c r="CR84" s="426"/>
      <c r="CS84" s="426"/>
      <c r="CT84" s="426"/>
      <c r="CU84" s="426"/>
      <c r="CV84" s="426"/>
      <c r="CW84" s="426"/>
      <c r="CX84" s="426"/>
    </row>
    <row r="85" spans="1:108" ht="9" customHeight="1">
      <c r="A85" s="16"/>
      <c r="C85" s="600"/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538"/>
      <c r="T85" s="537"/>
      <c r="U85" s="499"/>
      <c r="V85" s="499"/>
      <c r="W85" s="499"/>
      <c r="X85" s="499"/>
      <c r="Y85" s="499"/>
      <c r="Z85" s="499"/>
      <c r="AA85" s="538"/>
      <c r="AB85" s="537"/>
      <c r="AC85" s="499"/>
      <c r="AD85" s="499"/>
      <c r="AE85" s="499"/>
      <c r="AF85" s="499"/>
      <c r="AG85" s="499"/>
      <c r="AH85" s="499"/>
      <c r="AI85" s="499"/>
      <c r="AJ85" s="537"/>
      <c r="AK85" s="499"/>
      <c r="AL85" s="499"/>
      <c r="AM85" s="499"/>
      <c r="AN85" s="499"/>
      <c r="AO85" s="499"/>
      <c r="AP85" s="499"/>
      <c r="AQ85" s="538"/>
      <c r="AR85" s="503"/>
      <c r="AS85" s="499"/>
      <c r="AT85" s="499"/>
      <c r="AU85" s="499"/>
      <c r="AV85" s="499"/>
      <c r="AW85" s="499"/>
      <c r="AX85" s="499"/>
      <c r="AY85" s="501"/>
      <c r="AZ85" s="2"/>
      <c r="BA85" s="10"/>
      <c r="BE85" s="426" t="str">
        <f>IF($AB$48="","リーグ3",VLOOKUP(3,$B$48:$S$59,5,FALSE))</f>
        <v>リーグ3</v>
      </c>
      <c r="BF85" s="426"/>
      <c r="BG85" s="426"/>
      <c r="BH85" s="426"/>
      <c r="BI85" s="426"/>
      <c r="BJ85" s="426"/>
      <c r="BK85" s="426"/>
      <c r="BL85" s="426">
        <f>IF($AB$48="","",VLOOKUP(3,$B$48:$S$59,14,FALSE))</f>
      </c>
      <c r="BM85" s="426"/>
      <c r="BN85" s="426"/>
      <c r="BO85" s="426"/>
      <c r="BP85" s="426"/>
      <c r="BQ85" s="426"/>
      <c r="BR85" s="426"/>
      <c r="BS85" s="643"/>
      <c r="BT85" s="643"/>
      <c r="BU85" s="644"/>
      <c r="BV85" s="426"/>
      <c r="BW85" s="426"/>
      <c r="BX85" s="426"/>
      <c r="BY85" s="426"/>
      <c r="BZ85" s="426"/>
      <c r="CA85" s="18"/>
      <c r="CB85" s="18"/>
      <c r="CC85" s="18"/>
      <c r="CD85" s="18"/>
      <c r="CE85" s="18"/>
      <c r="CF85" s="18"/>
      <c r="CG85" s="18"/>
      <c r="CH85" s="426"/>
      <c r="CI85" s="426"/>
      <c r="CJ85" s="426"/>
      <c r="CK85" s="427"/>
      <c r="CL85" s="25"/>
      <c r="CM85" s="17"/>
      <c r="CN85" s="17"/>
      <c r="CO85" s="18"/>
      <c r="CP85" s="426" t="str">
        <f>IF($CA$10="","リーグ6",VLOOKUP(3,$BA$10:$BR$24,5,FALSE))</f>
        <v>リーグ6</v>
      </c>
      <c r="CQ85" s="426"/>
      <c r="CR85" s="426"/>
      <c r="CS85" s="426"/>
      <c r="CT85" s="426"/>
      <c r="CU85" s="426"/>
      <c r="CV85" s="426"/>
      <c r="CW85" s="426"/>
      <c r="CX85" s="426"/>
      <c r="CY85" s="426">
        <f>IF($CA$10="","",VLOOKUP(3,$BA$10:$BR$24,14,FALSE))</f>
      </c>
      <c r="CZ85" s="426"/>
      <c r="DA85" s="426" t="str">
        <f>IF($CA$10="","リーグ6",VLOOKUP(1,$BA$10:$BR$24,5,FALSE))</f>
        <v>リーグ6</v>
      </c>
      <c r="DB85" s="426"/>
      <c r="DC85" s="426" t="str">
        <f>IF($CA$10="","リーグ6",VLOOKUP(1,$BA$10:$BR$24,5,FALSE))</f>
        <v>リーグ6</v>
      </c>
      <c r="DD85" s="426"/>
    </row>
    <row r="86" spans="1:108" s="2" customFormat="1" ht="9" customHeight="1">
      <c r="A86" s="74"/>
      <c r="B86" s="593">
        <f>AV88</f>
        <v>1</v>
      </c>
      <c r="C86" s="529" t="s">
        <v>1697</v>
      </c>
      <c r="D86" s="350"/>
      <c r="E86" s="350"/>
      <c r="F86" s="350" t="str">
        <f>IF(C86="ここに","",VLOOKUP(C86,'登録ナンバー'!$A$1:$C$620,2,0))</f>
        <v>岡川</v>
      </c>
      <c r="G86" s="350"/>
      <c r="H86" s="350"/>
      <c r="I86" s="350"/>
      <c r="J86" s="350"/>
      <c r="K86" s="559" t="s">
        <v>837</v>
      </c>
      <c r="L86" s="350" t="s">
        <v>1722</v>
      </c>
      <c r="M86" s="350"/>
      <c r="N86" s="350"/>
      <c r="O86" s="350" t="str">
        <f>IF(L86="ここに","",VLOOKUP(L86,'登録ナンバー'!$A$1:$C$620,2,0))</f>
        <v>速水</v>
      </c>
      <c r="P86" s="350"/>
      <c r="Q86" s="350"/>
      <c r="R86" s="350"/>
      <c r="S86" s="350"/>
      <c r="T86" s="628" t="str">
        <f>IF(AB86="","丸付き数字は試合順番","")</f>
        <v>丸付き数字は試合順番</v>
      </c>
      <c r="U86" s="629"/>
      <c r="V86" s="629"/>
      <c r="W86" s="629"/>
      <c r="X86" s="629"/>
      <c r="Y86" s="629"/>
      <c r="Z86" s="629"/>
      <c r="AA86" s="630"/>
      <c r="AB86" s="436"/>
      <c r="AC86" s="351"/>
      <c r="AD86" s="351"/>
      <c r="AE86" s="351" t="s">
        <v>838</v>
      </c>
      <c r="AF86" s="351" t="s">
        <v>839</v>
      </c>
      <c r="AG86" s="351"/>
      <c r="AH86" s="351"/>
      <c r="AI86" s="625"/>
      <c r="AJ86" s="436" t="s">
        <v>840</v>
      </c>
      <c r="AK86" s="351"/>
      <c r="AL86" s="351"/>
      <c r="AM86" s="351" t="s">
        <v>838</v>
      </c>
      <c r="AN86" s="351"/>
      <c r="AO86" s="351"/>
      <c r="AP86" s="351"/>
      <c r="AQ86" s="625"/>
      <c r="AR86" s="450">
        <f>IF(COUNTIF(AS86:AU96,1)=2,"直接対決","")</f>
      </c>
      <c r="AS86" s="497">
        <f>COUNTIF(T86:AQ87,"⑥")+COUNTIF(T86:AQ87,"⑦")</f>
        <v>0</v>
      </c>
      <c r="AT86" s="497"/>
      <c r="AU86" s="497"/>
      <c r="AV86" s="456">
        <f>IF(AB86="","",2-AS86)</f>
      </c>
      <c r="AW86" s="456"/>
      <c r="AX86" s="456"/>
      <c r="AY86" s="457"/>
      <c r="AZ86" s="73"/>
      <c r="BA86" s="10"/>
      <c r="BB86" s="3"/>
      <c r="BC86" s="3"/>
      <c r="BD86" s="3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18"/>
      <c r="BT86" s="18"/>
      <c r="BU86" s="18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426"/>
      <c r="CQ86" s="426"/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6"/>
      <c r="DD86" s="426"/>
    </row>
    <row r="87" spans="1:108" s="2" customFormat="1" ht="9" customHeight="1">
      <c r="A87" s="74"/>
      <c r="B87" s="593"/>
      <c r="C87" s="530"/>
      <c r="D87" s="342"/>
      <c r="E87" s="342"/>
      <c r="F87" s="342"/>
      <c r="G87" s="342"/>
      <c r="H87" s="342"/>
      <c r="I87" s="342"/>
      <c r="J87" s="342"/>
      <c r="K87" s="559"/>
      <c r="L87" s="342"/>
      <c r="M87" s="342"/>
      <c r="N87" s="342"/>
      <c r="O87" s="342"/>
      <c r="P87" s="342"/>
      <c r="Q87" s="342"/>
      <c r="R87" s="342"/>
      <c r="S87" s="342"/>
      <c r="T87" s="631"/>
      <c r="U87" s="632"/>
      <c r="V87" s="632"/>
      <c r="W87" s="632"/>
      <c r="X87" s="632"/>
      <c r="Y87" s="632"/>
      <c r="Z87" s="632"/>
      <c r="AA87" s="633"/>
      <c r="AB87" s="437"/>
      <c r="AC87" s="348"/>
      <c r="AD87" s="348"/>
      <c r="AE87" s="348"/>
      <c r="AF87" s="348"/>
      <c r="AG87" s="348"/>
      <c r="AH87" s="348"/>
      <c r="AI87" s="626"/>
      <c r="AJ87" s="437"/>
      <c r="AK87" s="348"/>
      <c r="AL87" s="348"/>
      <c r="AM87" s="348"/>
      <c r="AN87" s="348"/>
      <c r="AO87" s="348"/>
      <c r="AP87" s="348"/>
      <c r="AQ87" s="626"/>
      <c r="AR87" s="451"/>
      <c r="AS87" s="498"/>
      <c r="AT87" s="498"/>
      <c r="AU87" s="498"/>
      <c r="AV87" s="458"/>
      <c r="AW87" s="458"/>
      <c r="AX87" s="458"/>
      <c r="AY87" s="459"/>
      <c r="AZ87" s="73"/>
      <c r="BA87" s="10"/>
      <c r="BB87" s="7"/>
      <c r="BC87" s="7"/>
      <c r="BD87" s="7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3"/>
      <c r="CI87" s="3"/>
      <c r="CJ87" s="3"/>
      <c r="CK87" s="3"/>
      <c r="CL87" s="3"/>
      <c r="CM87" s="3"/>
      <c r="CN87" s="3"/>
      <c r="CO87" s="3"/>
      <c r="CP87" s="426"/>
      <c r="CQ87" s="426"/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  <c r="DB87" s="426"/>
      <c r="DC87" s="426"/>
      <c r="DD87" s="426"/>
    </row>
    <row r="88" spans="1:85" ht="15.75" customHeight="1">
      <c r="A88" s="16"/>
      <c r="C88" s="530" t="s">
        <v>841</v>
      </c>
      <c r="D88" s="342"/>
      <c r="E88" s="342"/>
      <c r="F88" s="342" t="str">
        <f>IF(C86="ここに","",VLOOKUP(C86,'登録ナンバー'!$A$1:$D$620,4,0))</f>
        <v>村田ＴＣ</v>
      </c>
      <c r="G88" s="342"/>
      <c r="H88" s="342"/>
      <c r="I88" s="342"/>
      <c r="J88" s="342"/>
      <c r="K88" s="125"/>
      <c r="L88" s="559" t="s">
        <v>841</v>
      </c>
      <c r="M88" s="559"/>
      <c r="N88" s="559"/>
      <c r="O88" s="342" t="str">
        <f>IF(L86="ここに","",VLOOKUP(L86,'登録ナンバー'!$A$1:$D$620,4,0))</f>
        <v>村田ＴＣ</v>
      </c>
      <c r="P88" s="342"/>
      <c r="Q88" s="342"/>
      <c r="R88" s="342"/>
      <c r="S88" s="637"/>
      <c r="T88" s="632"/>
      <c r="U88" s="632"/>
      <c r="V88" s="632"/>
      <c r="W88" s="632"/>
      <c r="X88" s="632"/>
      <c r="Y88" s="632"/>
      <c r="Z88" s="632"/>
      <c r="AA88" s="633"/>
      <c r="AB88" s="437"/>
      <c r="AC88" s="348"/>
      <c r="AD88" s="348"/>
      <c r="AE88" s="348"/>
      <c r="AF88" s="348"/>
      <c r="AG88" s="348"/>
      <c r="AH88" s="348"/>
      <c r="AI88" s="626"/>
      <c r="AJ88" s="437"/>
      <c r="AK88" s="348"/>
      <c r="AL88" s="348"/>
      <c r="AM88" s="348"/>
      <c r="AN88" s="348"/>
      <c r="AO88" s="348"/>
      <c r="AP88" s="348"/>
      <c r="AQ88" s="626"/>
      <c r="AR88" s="487">
        <f>IF(OR(COUNTIF(AS86:AU98,2)=3,COUNTIF(AS86:AU98,1)=3),(AB89+AJ89)/(AB89+AJ89+AF86+AN86),"")</f>
      </c>
      <c r="AS88" s="474"/>
      <c r="AT88" s="474"/>
      <c r="AU88" s="474"/>
      <c r="AV88" s="452">
        <f>IF(AR88&lt;&gt;"",RANK(AR88,AR88:AR101),RANK(AS86,AS86:AU99))</f>
        <v>1</v>
      </c>
      <c r="AW88" s="452"/>
      <c r="AX88" s="452"/>
      <c r="AY88" s="453"/>
      <c r="AZ88" s="62"/>
      <c r="BA88" s="10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</row>
    <row r="89" spans="1:85" ht="4.5" customHeight="1" hidden="1">
      <c r="A89" s="16"/>
      <c r="C89" s="531"/>
      <c r="D89" s="532"/>
      <c r="E89" s="532"/>
      <c r="F89" s="125"/>
      <c r="G89" s="125"/>
      <c r="H89" s="125"/>
      <c r="I89" s="125"/>
      <c r="J89" s="134"/>
      <c r="K89" s="125"/>
      <c r="L89" s="532"/>
      <c r="M89" s="532"/>
      <c r="N89" s="532"/>
      <c r="O89" s="125"/>
      <c r="P89" s="125"/>
      <c r="Q89" s="125"/>
      <c r="R89" s="126"/>
      <c r="S89" s="294"/>
      <c r="T89" s="634"/>
      <c r="U89" s="635"/>
      <c r="V89" s="635"/>
      <c r="W89" s="635"/>
      <c r="X89" s="635"/>
      <c r="Y89" s="635"/>
      <c r="Z89" s="635"/>
      <c r="AA89" s="636"/>
      <c r="AB89" s="35">
        <f>IF(AB86="⑦","7",IF(AB86="⑥","6",AB86))</f>
        <v>0</v>
      </c>
      <c r="AC89" s="36"/>
      <c r="AD89" s="36"/>
      <c r="AE89" s="36"/>
      <c r="AF89" s="36"/>
      <c r="AG89" s="36"/>
      <c r="AH89" s="36"/>
      <c r="AI89" s="36"/>
      <c r="AJ89" s="35" t="str">
        <f>IF(AJ86="⑦","7",IF(AJ86="⑥","6",AJ86))</f>
        <v>②</v>
      </c>
      <c r="AK89" s="36"/>
      <c r="AL89" s="36"/>
      <c r="AM89" s="36"/>
      <c r="AN89" s="36"/>
      <c r="AO89" s="36"/>
      <c r="AP89" s="36"/>
      <c r="AQ89" s="37"/>
      <c r="AR89" s="488"/>
      <c r="AS89" s="475"/>
      <c r="AT89" s="475"/>
      <c r="AU89" s="475"/>
      <c r="AV89" s="454"/>
      <c r="AW89" s="454"/>
      <c r="AX89" s="454"/>
      <c r="AY89" s="455"/>
      <c r="AZ89" s="62"/>
      <c r="BA89" s="2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</row>
    <row r="90" spans="1:52" ht="9" customHeight="1">
      <c r="A90" s="16"/>
      <c r="B90" s="593">
        <f>AV92</f>
        <v>1</v>
      </c>
      <c r="C90" s="529" t="s">
        <v>1253</v>
      </c>
      <c r="D90" s="350"/>
      <c r="E90" s="350"/>
      <c r="F90" s="350" t="s">
        <v>1700</v>
      </c>
      <c r="G90" s="350"/>
      <c r="H90" s="350"/>
      <c r="I90" s="350"/>
      <c r="J90" s="350"/>
      <c r="K90" s="559" t="s">
        <v>837</v>
      </c>
      <c r="L90" s="350" t="s">
        <v>1723</v>
      </c>
      <c r="M90" s="350"/>
      <c r="N90" s="350"/>
      <c r="O90" s="350" t="str">
        <f>IF(L90="ここに","",VLOOKUP(L90,'登録ナンバー'!$A$1:$C$620,2,0))</f>
        <v>北川　</v>
      </c>
      <c r="P90" s="350"/>
      <c r="Q90" s="350"/>
      <c r="R90" s="350"/>
      <c r="S90" s="350"/>
      <c r="T90" s="344">
        <f>IF(AB86="","",IF(AND(AF86=6,AB86&lt;&gt;"⑦"),"⑥",IF(AF86=7,"⑦",AF86)))</f>
      </c>
      <c r="U90" s="424"/>
      <c r="V90" s="424"/>
      <c r="W90" s="424" t="s">
        <v>838</v>
      </c>
      <c r="X90" s="424">
        <f>IF(AB86="","",IF(AB86="⑥",6,IF(AB86="⑦",7,AB86)))</f>
      </c>
      <c r="Y90" s="424"/>
      <c r="Z90" s="424"/>
      <c r="AA90" s="425"/>
      <c r="AB90" s="601"/>
      <c r="AC90" s="602"/>
      <c r="AD90" s="602"/>
      <c r="AE90" s="602"/>
      <c r="AF90" s="602"/>
      <c r="AG90" s="602"/>
      <c r="AH90" s="602"/>
      <c r="AI90" s="602"/>
      <c r="AJ90" s="436" t="s">
        <v>842</v>
      </c>
      <c r="AK90" s="351"/>
      <c r="AL90" s="351"/>
      <c r="AM90" s="351" t="s">
        <v>838</v>
      </c>
      <c r="AN90" s="351"/>
      <c r="AO90" s="351"/>
      <c r="AP90" s="351"/>
      <c r="AQ90" s="625"/>
      <c r="AR90" s="450">
        <f>IF(COUNTIF(AS86:AU96,1)=2,"直接対決","")</f>
      </c>
      <c r="AS90" s="497">
        <f>COUNTIF(T90:AQ91,"⑥")+COUNTIF(T90:AQ91,"⑦")</f>
        <v>0</v>
      </c>
      <c r="AT90" s="497"/>
      <c r="AU90" s="497"/>
      <c r="AV90" s="456">
        <f>IF(AB86="","",2-AS90)</f>
      </c>
      <c r="AW90" s="456"/>
      <c r="AX90" s="456"/>
      <c r="AY90" s="457"/>
      <c r="AZ90" s="73"/>
    </row>
    <row r="91" spans="1:95" ht="9" customHeight="1">
      <c r="A91" s="16"/>
      <c r="B91" s="593"/>
      <c r="C91" s="530"/>
      <c r="D91" s="342"/>
      <c r="E91" s="342"/>
      <c r="F91" s="342"/>
      <c r="G91" s="342"/>
      <c r="H91" s="342"/>
      <c r="I91" s="342"/>
      <c r="J91" s="342"/>
      <c r="K91" s="559"/>
      <c r="L91" s="342"/>
      <c r="M91" s="342"/>
      <c r="N91" s="342"/>
      <c r="O91" s="342"/>
      <c r="P91" s="342"/>
      <c r="Q91" s="342"/>
      <c r="R91" s="342"/>
      <c r="S91" s="342"/>
      <c r="T91" s="345"/>
      <c r="U91" s="426"/>
      <c r="V91" s="426"/>
      <c r="W91" s="426"/>
      <c r="X91" s="426"/>
      <c r="Y91" s="426"/>
      <c r="Z91" s="426"/>
      <c r="AA91" s="427"/>
      <c r="AB91" s="604"/>
      <c r="AC91" s="605"/>
      <c r="AD91" s="605"/>
      <c r="AE91" s="605"/>
      <c r="AF91" s="605"/>
      <c r="AG91" s="605"/>
      <c r="AH91" s="605"/>
      <c r="AI91" s="605"/>
      <c r="AJ91" s="437"/>
      <c r="AK91" s="348"/>
      <c r="AL91" s="348"/>
      <c r="AM91" s="348"/>
      <c r="AN91" s="348"/>
      <c r="AO91" s="348"/>
      <c r="AP91" s="348"/>
      <c r="AQ91" s="626"/>
      <c r="AR91" s="451"/>
      <c r="AS91" s="498"/>
      <c r="AT91" s="498"/>
      <c r="AU91" s="498"/>
      <c r="AV91" s="458"/>
      <c r="AW91" s="458"/>
      <c r="AX91" s="458"/>
      <c r="AY91" s="459"/>
      <c r="AZ91" s="73"/>
      <c r="CQ91" s="7"/>
    </row>
    <row r="92" spans="1:101" ht="15.75" customHeight="1">
      <c r="A92" s="16"/>
      <c r="B92" s="16"/>
      <c r="C92" s="530" t="s">
        <v>841</v>
      </c>
      <c r="D92" s="342"/>
      <c r="E92" s="342"/>
      <c r="F92" s="342" t="s">
        <v>1397</v>
      </c>
      <c r="G92" s="342"/>
      <c r="H92" s="342"/>
      <c r="I92" s="342"/>
      <c r="J92" s="342"/>
      <c r="K92" s="125"/>
      <c r="L92" s="559" t="s">
        <v>841</v>
      </c>
      <c r="M92" s="559"/>
      <c r="N92" s="559"/>
      <c r="O92" s="342" t="str">
        <f>IF(L90="ここに","",VLOOKUP(L90,'登録ナンバー'!$A$1:$D$620,4,0))</f>
        <v>TDC</v>
      </c>
      <c r="P92" s="342"/>
      <c r="Q92" s="342"/>
      <c r="R92" s="342"/>
      <c r="S92" s="637"/>
      <c r="T92" s="426"/>
      <c r="U92" s="426"/>
      <c r="V92" s="426"/>
      <c r="W92" s="426"/>
      <c r="X92" s="426"/>
      <c r="Y92" s="426"/>
      <c r="Z92" s="426"/>
      <c r="AA92" s="427"/>
      <c r="AB92" s="604"/>
      <c r="AC92" s="605"/>
      <c r="AD92" s="605"/>
      <c r="AE92" s="605"/>
      <c r="AF92" s="605"/>
      <c r="AG92" s="605"/>
      <c r="AH92" s="605"/>
      <c r="AI92" s="605"/>
      <c r="AJ92" s="437"/>
      <c r="AK92" s="348"/>
      <c r="AL92" s="348"/>
      <c r="AM92" s="348"/>
      <c r="AN92" s="435"/>
      <c r="AO92" s="435"/>
      <c r="AP92" s="435"/>
      <c r="AQ92" s="627"/>
      <c r="AR92" s="487">
        <f>IF(OR(COUNTIF(AS86:AU98,2)=3,COUNTIF(AS86:AU98,1)=3),(T93+AJ93)/(T93+AJ93+X90+AN90),"")</f>
      </c>
      <c r="AS92" s="426"/>
      <c r="AT92" s="426"/>
      <c r="AU92" s="426"/>
      <c r="AV92" s="452">
        <f>IF(AR92&lt;&gt;"",RANK(AR92,AR88:AR101),RANK(AS90,AS86:AU99))</f>
        <v>1</v>
      </c>
      <c r="AW92" s="452"/>
      <c r="AX92" s="452"/>
      <c r="AY92" s="453"/>
      <c r="AZ92" s="62"/>
      <c r="CR92" s="7"/>
      <c r="CS92" s="7"/>
      <c r="CT92" s="7"/>
      <c r="CU92" s="7"/>
      <c r="CV92" s="7"/>
      <c r="CW92" s="7"/>
    </row>
    <row r="93" spans="1:101" ht="4.5" customHeight="1" hidden="1">
      <c r="A93" s="16"/>
      <c r="B93" s="16"/>
      <c r="C93" s="531"/>
      <c r="D93" s="532"/>
      <c r="E93" s="532"/>
      <c r="F93" s="125"/>
      <c r="G93" s="125"/>
      <c r="H93" s="125"/>
      <c r="I93" s="125"/>
      <c r="J93" s="134"/>
      <c r="K93" s="125"/>
      <c r="L93" s="532"/>
      <c r="M93" s="532"/>
      <c r="N93" s="532"/>
      <c r="O93" s="125"/>
      <c r="P93" s="125"/>
      <c r="Q93" s="125"/>
      <c r="R93" s="126"/>
      <c r="S93" s="294"/>
      <c r="T93" s="35">
        <f>IF(T90="⑦","7",IF(T90="⑥","6",T90))</f>
      </c>
      <c r="U93" s="11"/>
      <c r="V93" s="11"/>
      <c r="W93" s="11"/>
      <c r="X93" s="11"/>
      <c r="Y93" s="11"/>
      <c r="Z93" s="11"/>
      <c r="AA93" s="39"/>
      <c r="AB93" s="607"/>
      <c r="AC93" s="608"/>
      <c r="AD93" s="608"/>
      <c r="AE93" s="608"/>
      <c r="AF93" s="608"/>
      <c r="AG93" s="608"/>
      <c r="AH93" s="608"/>
      <c r="AI93" s="608"/>
      <c r="AJ93" s="35" t="str">
        <f>IF(AJ90="⑦","7",IF(AJ90="⑥","6",AJ90))</f>
        <v>①</v>
      </c>
      <c r="AK93" s="36"/>
      <c r="AL93" s="36"/>
      <c r="AM93" s="36"/>
      <c r="AN93" s="36"/>
      <c r="AO93" s="36"/>
      <c r="AP93" s="36"/>
      <c r="AQ93" s="37"/>
      <c r="AR93" s="488"/>
      <c r="AS93" s="499"/>
      <c r="AT93" s="499"/>
      <c r="AU93" s="499"/>
      <c r="AV93" s="454"/>
      <c r="AW93" s="454"/>
      <c r="AX93" s="454"/>
      <c r="AY93" s="455"/>
      <c r="AZ93" s="62"/>
      <c r="CP93" s="7"/>
      <c r="CR93" s="7"/>
      <c r="CS93" s="7"/>
      <c r="CT93" s="7"/>
      <c r="CU93" s="7"/>
      <c r="CV93" s="7"/>
      <c r="CW93" s="7"/>
    </row>
    <row r="94" spans="1:101" ht="9" customHeight="1">
      <c r="A94" s="16"/>
      <c r="B94" s="593">
        <f>AV96</f>
        <v>1</v>
      </c>
      <c r="C94" s="529" t="s">
        <v>1706</v>
      </c>
      <c r="D94" s="350"/>
      <c r="E94" s="350"/>
      <c r="F94" s="350" t="str">
        <f>IF(C94="ここに","",VLOOKUP(C94,'登録ナンバー'!$A$1:$C$620,2,0))</f>
        <v>野上</v>
      </c>
      <c r="G94" s="350"/>
      <c r="H94" s="350"/>
      <c r="I94" s="350"/>
      <c r="J94" s="350"/>
      <c r="K94" s="559" t="s">
        <v>837</v>
      </c>
      <c r="L94" s="350" t="s">
        <v>1724</v>
      </c>
      <c r="M94" s="350"/>
      <c r="N94" s="350"/>
      <c r="O94" s="350" t="s">
        <v>1707</v>
      </c>
      <c r="P94" s="350"/>
      <c r="Q94" s="350"/>
      <c r="R94" s="350"/>
      <c r="S94" s="341"/>
      <c r="T94" s="344">
        <f>IF(AN86="","",IF(AND(AN86=6,AJ86&lt;&gt;"⑦"),"⑥",IF(AN86=7,"⑦",AN86)))</f>
      </c>
      <c r="U94" s="424"/>
      <c r="V94" s="424"/>
      <c r="W94" s="424" t="s">
        <v>838</v>
      </c>
      <c r="X94" s="424">
        <f>IF(AN86="","",IF(AJ86="⑥",6,IF(AJ86="⑦",7,AJ86)))</f>
      </c>
      <c r="Y94" s="424"/>
      <c r="Z94" s="424"/>
      <c r="AA94" s="425"/>
      <c r="AB94" s="344">
        <f>IF(AN90="","",IF(AND(AN90=6,AJ90&lt;&gt;"⑦"),"⑥",IF(AN90=7,"⑦",AN90)))</f>
      </c>
      <c r="AC94" s="424"/>
      <c r="AD94" s="424"/>
      <c r="AE94" s="424" t="s">
        <v>838</v>
      </c>
      <c r="AF94" s="424">
        <f>IF(AN90="","",IF(AJ90="⑥",6,IF(AJ90="⑦",7,AJ90)))</f>
      </c>
      <c r="AG94" s="424"/>
      <c r="AH94" s="424"/>
      <c r="AI94" s="425"/>
      <c r="AJ94" s="476"/>
      <c r="AK94" s="477"/>
      <c r="AL94" s="477"/>
      <c r="AM94" s="477"/>
      <c r="AN94" s="477"/>
      <c r="AO94" s="477"/>
      <c r="AP94" s="480"/>
      <c r="AQ94" s="481"/>
      <c r="AR94" s="450">
        <f>IF(COUNTIF(AS86:AU96,1)=2,"直接対決","")</f>
      </c>
      <c r="AS94" s="497">
        <f>COUNTIF(T94:AQ95,"⑥")+COUNTIF(T94:AQ95,"⑦")</f>
        <v>0</v>
      </c>
      <c r="AT94" s="497"/>
      <c r="AU94" s="497"/>
      <c r="AV94" s="456">
        <f>IF(AB86="","",2-AS94)</f>
      </c>
      <c r="AW94" s="456"/>
      <c r="AX94" s="456"/>
      <c r="AY94" s="457"/>
      <c r="AZ94" s="73"/>
      <c r="CP94" s="7"/>
      <c r="CQ94" s="7"/>
      <c r="CR94" s="7"/>
      <c r="CS94" s="7"/>
      <c r="CT94" s="7"/>
      <c r="CU94" s="7"/>
      <c r="CV94" s="7"/>
      <c r="CW94" s="7"/>
    </row>
    <row r="95" spans="1:101" ht="9" customHeight="1">
      <c r="A95" s="16"/>
      <c r="B95" s="593"/>
      <c r="C95" s="530"/>
      <c r="D95" s="342"/>
      <c r="E95" s="342"/>
      <c r="F95" s="342"/>
      <c r="G95" s="342"/>
      <c r="H95" s="342"/>
      <c r="I95" s="342"/>
      <c r="J95" s="342"/>
      <c r="K95" s="559"/>
      <c r="L95" s="342"/>
      <c r="M95" s="342"/>
      <c r="N95" s="342"/>
      <c r="O95" s="342"/>
      <c r="P95" s="342"/>
      <c r="Q95" s="342"/>
      <c r="R95" s="342"/>
      <c r="S95" s="343"/>
      <c r="T95" s="345"/>
      <c r="U95" s="426"/>
      <c r="V95" s="426"/>
      <c r="W95" s="426"/>
      <c r="X95" s="426"/>
      <c r="Y95" s="426"/>
      <c r="Z95" s="426"/>
      <c r="AA95" s="427"/>
      <c r="AB95" s="345"/>
      <c r="AC95" s="426"/>
      <c r="AD95" s="426"/>
      <c r="AE95" s="426"/>
      <c r="AF95" s="426"/>
      <c r="AG95" s="426"/>
      <c r="AH95" s="426"/>
      <c r="AI95" s="427"/>
      <c r="AJ95" s="479"/>
      <c r="AK95" s="480"/>
      <c r="AL95" s="480"/>
      <c r="AM95" s="480"/>
      <c r="AN95" s="480"/>
      <c r="AO95" s="480"/>
      <c r="AP95" s="480"/>
      <c r="AQ95" s="481"/>
      <c r="AR95" s="451"/>
      <c r="AS95" s="498"/>
      <c r="AT95" s="498"/>
      <c r="AU95" s="498"/>
      <c r="AV95" s="458"/>
      <c r="AW95" s="458"/>
      <c r="AX95" s="458"/>
      <c r="AY95" s="459"/>
      <c r="AZ95" s="73"/>
      <c r="BA95" s="10"/>
      <c r="CP95" s="7"/>
      <c r="CQ95" s="7"/>
      <c r="CR95" s="7"/>
      <c r="CS95" s="7"/>
      <c r="CT95" s="7"/>
      <c r="CU95" s="7"/>
      <c r="CV95" s="7"/>
      <c r="CW95" s="7"/>
    </row>
    <row r="96" spans="1:101" ht="15.75" customHeight="1" thickBot="1">
      <c r="A96" s="16"/>
      <c r="B96" s="16"/>
      <c r="C96" s="530" t="s">
        <v>841</v>
      </c>
      <c r="D96" s="342"/>
      <c r="E96" s="342"/>
      <c r="F96" s="342" t="str">
        <f>IF(C94="ここに","",VLOOKUP(C94,'登録ナンバー'!$A$1:$D$620,4,0))</f>
        <v>うさかめ</v>
      </c>
      <c r="G96" s="342"/>
      <c r="H96" s="342"/>
      <c r="I96" s="342"/>
      <c r="J96" s="342"/>
      <c r="K96" s="125"/>
      <c r="L96" s="559" t="s">
        <v>841</v>
      </c>
      <c r="M96" s="559"/>
      <c r="N96" s="559"/>
      <c r="O96" s="342" t="s">
        <v>1397</v>
      </c>
      <c r="P96" s="342"/>
      <c r="Q96" s="342"/>
      <c r="R96" s="342"/>
      <c r="S96" s="637"/>
      <c r="T96" s="426"/>
      <c r="U96" s="426"/>
      <c r="V96" s="426"/>
      <c r="W96" s="426"/>
      <c r="X96" s="499"/>
      <c r="Y96" s="499"/>
      <c r="Z96" s="499"/>
      <c r="AA96" s="538"/>
      <c r="AB96" s="345"/>
      <c r="AC96" s="426"/>
      <c r="AD96" s="426"/>
      <c r="AE96" s="426"/>
      <c r="AF96" s="426"/>
      <c r="AG96" s="426"/>
      <c r="AH96" s="426"/>
      <c r="AI96" s="427"/>
      <c r="AJ96" s="479"/>
      <c r="AK96" s="480"/>
      <c r="AL96" s="480"/>
      <c r="AM96" s="480"/>
      <c r="AN96" s="480"/>
      <c r="AO96" s="480"/>
      <c r="AP96" s="480"/>
      <c r="AQ96" s="481"/>
      <c r="AR96" s="487">
        <f>IF(OR(COUNTIF(AS86:AU98,2)=3,COUNTIF(AS86:AU98,1)=3),(AB97+T97)/(T97+AF94+X94+AB97),"")</f>
      </c>
      <c r="AS96" s="474"/>
      <c r="AT96" s="474"/>
      <c r="AU96" s="474"/>
      <c r="AV96" s="452">
        <f>IF(AR96&lt;&gt;"",RANK(AR96,AR88:AR101),RANK(AS94,AS86:AU99))</f>
        <v>1</v>
      </c>
      <c r="AW96" s="452"/>
      <c r="AX96" s="452"/>
      <c r="AY96" s="452"/>
      <c r="AZ96" s="62"/>
      <c r="BA96" s="10"/>
      <c r="CP96" s="7"/>
      <c r="CQ96" s="7"/>
      <c r="CR96" s="7"/>
      <c r="CS96" s="7"/>
      <c r="CT96" s="7"/>
      <c r="CU96" s="7"/>
      <c r="CV96" s="7"/>
      <c r="CW96" s="7"/>
    </row>
    <row r="97" spans="2:101" ht="5.25" customHeight="1" hidden="1">
      <c r="B97" s="16"/>
      <c r="C97" s="531"/>
      <c r="D97" s="532"/>
      <c r="E97" s="532"/>
      <c r="F97" s="125"/>
      <c r="G97" s="125"/>
      <c r="H97" s="125"/>
      <c r="I97" s="125"/>
      <c r="J97" s="125"/>
      <c r="K97" s="125"/>
      <c r="L97" s="532"/>
      <c r="M97" s="532"/>
      <c r="N97" s="532"/>
      <c r="O97" s="125"/>
      <c r="P97" s="125"/>
      <c r="Q97" s="125"/>
      <c r="R97" s="126"/>
      <c r="S97" s="294"/>
      <c r="T97" s="56">
        <f>IF(T94="⑦","7",IF(T94="⑥","6",T94))</f>
      </c>
      <c r="AA97" s="24"/>
      <c r="AB97" s="56">
        <f>IF(AB94="⑦","7",IF(AB94="⑥","6",AB94))</f>
      </c>
      <c r="AJ97" s="482"/>
      <c r="AK97" s="483"/>
      <c r="AL97" s="483"/>
      <c r="AM97" s="483"/>
      <c r="AN97" s="483"/>
      <c r="AO97" s="483"/>
      <c r="AP97" s="483"/>
      <c r="AQ97" s="484"/>
      <c r="AR97" s="487"/>
      <c r="AS97" s="474"/>
      <c r="AT97" s="474"/>
      <c r="AU97" s="474"/>
      <c r="AV97" s="452"/>
      <c r="AW97" s="452"/>
      <c r="AX97" s="452"/>
      <c r="AY97" s="452"/>
      <c r="AZ97" s="62"/>
      <c r="CQ97" s="7"/>
      <c r="CR97" s="7"/>
      <c r="CS97" s="7"/>
      <c r="CT97" s="7"/>
      <c r="CU97" s="7"/>
      <c r="CV97" s="7"/>
      <c r="CW97" s="7"/>
    </row>
    <row r="98" spans="2:89" s="61" customFormat="1" ht="13.5">
      <c r="B98" s="623" t="s">
        <v>845</v>
      </c>
      <c r="C98" s="623"/>
      <c r="D98" s="623"/>
      <c r="E98" s="623"/>
      <c r="F98" s="623"/>
      <c r="G98" s="623"/>
      <c r="H98" s="623"/>
      <c r="I98" s="623"/>
      <c r="J98" s="623"/>
      <c r="K98" s="623"/>
      <c r="L98" s="623"/>
      <c r="M98" s="623"/>
      <c r="N98" s="623"/>
      <c r="O98" s="623"/>
      <c r="P98" s="623"/>
      <c r="Q98" s="623"/>
      <c r="R98" s="623"/>
      <c r="S98" s="623"/>
      <c r="T98" s="623"/>
      <c r="U98" s="623"/>
      <c r="V98" s="623"/>
      <c r="W98" s="623"/>
      <c r="X98" s="623"/>
      <c r="Y98" s="623"/>
      <c r="Z98" s="623"/>
      <c r="AA98" s="623"/>
      <c r="AB98" s="623"/>
      <c r="AC98" s="623"/>
      <c r="AD98" s="623"/>
      <c r="AE98" s="623"/>
      <c r="AF98" s="623"/>
      <c r="AG98" s="623"/>
      <c r="AH98" s="623"/>
      <c r="AI98" s="623"/>
      <c r="AJ98" s="623"/>
      <c r="AK98" s="623"/>
      <c r="AL98" s="623"/>
      <c r="AM98" s="623"/>
      <c r="AN98" s="623"/>
      <c r="AO98" s="623"/>
      <c r="AP98" s="623"/>
      <c r="AQ98" s="623"/>
      <c r="AR98" s="623"/>
      <c r="AS98" s="623"/>
      <c r="AT98" s="623"/>
      <c r="AU98" s="623"/>
      <c r="AV98" s="623"/>
      <c r="AW98" s="623"/>
      <c r="AX98" s="623"/>
      <c r="AY98" s="623"/>
      <c r="AZ98" s="624"/>
      <c r="BA98" s="624"/>
      <c r="BB98" s="624"/>
      <c r="BC98" s="624"/>
      <c r="BD98" s="624"/>
      <c r="BE98" s="624"/>
      <c r="BF98" s="624"/>
      <c r="BG98" s="624"/>
      <c r="BH98" s="624"/>
      <c r="BI98" s="624"/>
      <c r="BJ98" s="624"/>
      <c r="BK98" s="624"/>
      <c r="BL98" s="624"/>
      <c r="BM98" s="624"/>
      <c r="BN98" s="624"/>
      <c r="BO98" s="624"/>
      <c r="BP98" s="624"/>
      <c r="BQ98" s="624"/>
      <c r="BR98" s="624"/>
      <c r="BS98" s="624"/>
      <c r="BT98" s="624"/>
      <c r="BU98" s="624"/>
      <c r="BV98" s="624"/>
      <c r="BW98" s="624"/>
      <c r="BX98" s="624"/>
      <c r="BY98" s="624"/>
      <c r="BZ98" s="624"/>
      <c r="CA98" s="624"/>
      <c r="CB98" s="624"/>
      <c r="CC98" s="624"/>
      <c r="CD98" s="624"/>
      <c r="CE98" s="624"/>
      <c r="CF98" s="624"/>
      <c r="CG98" s="624"/>
      <c r="CH98" s="624"/>
      <c r="CI98" s="624"/>
      <c r="CJ98" s="624"/>
      <c r="CK98" s="624"/>
    </row>
    <row r="99" spans="2:105" ht="12" customHeight="1">
      <c r="B99" s="624"/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4"/>
      <c r="AC99" s="624"/>
      <c r="AD99" s="624"/>
      <c r="AE99" s="624"/>
      <c r="AF99" s="624"/>
      <c r="AG99" s="624"/>
      <c r="AH99" s="624"/>
      <c r="AI99" s="624"/>
      <c r="AJ99" s="624"/>
      <c r="AK99" s="624"/>
      <c r="AL99" s="624"/>
      <c r="AM99" s="624"/>
      <c r="AN99" s="624"/>
      <c r="AO99" s="624"/>
      <c r="AP99" s="624"/>
      <c r="AQ99" s="624"/>
      <c r="AR99" s="624"/>
      <c r="AS99" s="624"/>
      <c r="AT99" s="624"/>
      <c r="AU99" s="624"/>
      <c r="AV99" s="624"/>
      <c r="AW99" s="624"/>
      <c r="AX99" s="624"/>
      <c r="AY99" s="624"/>
      <c r="AZ99" s="624"/>
      <c r="BA99" s="624"/>
      <c r="BB99" s="624"/>
      <c r="BC99" s="624"/>
      <c r="BD99" s="624"/>
      <c r="BE99" s="624"/>
      <c r="BF99" s="624"/>
      <c r="BG99" s="624"/>
      <c r="BH99" s="624"/>
      <c r="BI99" s="624"/>
      <c r="BJ99" s="624"/>
      <c r="BK99" s="624"/>
      <c r="BL99" s="624"/>
      <c r="BM99" s="624"/>
      <c r="BN99" s="624"/>
      <c r="BO99" s="624"/>
      <c r="BP99" s="624"/>
      <c r="BQ99" s="624"/>
      <c r="BR99" s="624"/>
      <c r="BS99" s="624"/>
      <c r="BT99" s="624"/>
      <c r="BU99" s="624"/>
      <c r="BV99" s="624"/>
      <c r="BW99" s="624"/>
      <c r="BX99" s="624"/>
      <c r="BY99" s="624"/>
      <c r="BZ99" s="624"/>
      <c r="CA99" s="624"/>
      <c r="CB99" s="624"/>
      <c r="CC99" s="624"/>
      <c r="CD99" s="624"/>
      <c r="CE99" s="624"/>
      <c r="CF99" s="624"/>
      <c r="CG99" s="624"/>
      <c r="CH99" s="624"/>
      <c r="CI99" s="624"/>
      <c r="CJ99" s="624"/>
      <c r="CK99" s="624"/>
      <c r="CW99" s="7"/>
      <c r="CX99" s="7"/>
      <c r="CY99" s="7"/>
      <c r="CZ99" s="7"/>
      <c r="DA99" s="7"/>
    </row>
    <row r="100" spans="53:101" ht="9" customHeight="1">
      <c r="BA100" s="2"/>
      <c r="CQ100" s="7"/>
      <c r="CR100" s="7"/>
      <c r="CS100" s="7"/>
      <c r="CT100" s="7"/>
      <c r="CU100" s="7"/>
      <c r="CV100" s="7"/>
      <c r="CW100" s="7"/>
    </row>
    <row r="101" spans="95:105" ht="9" customHeight="1">
      <c r="CQ101" s="7"/>
      <c r="CR101" s="31"/>
      <c r="CS101" s="7"/>
      <c r="CT101" s="7"/>
      <c r="CU101" s="7"/>
      <c r="CV101" s="7"/>
      <c r="CW101" s="7"/>
      <c r="CX101" s="7"/>
      <c r="CY101" s="7"/>
      <c r="CZ101" s="7"/>
      <c r="DA101" s="7"/>
    </row>
    <row r="102" spans="53:105" ht="9" customHeight="1">
      <c r="BA102" s="2"/>
      <c r="CQ102" s="7"/>
      <c r="CR102" s="31"/>
      <c r="CS102" s="31"/>
      <c r="CT102" s="31"/>
      <c r="CU102" s="31"/>
      <c r="CV102" s="31"/>
      <c r="CW102" s="31"/>
      <c r="DA102" s="7"/>
    </row>
    <row r="103" spans="53:105" ht="7.5" customHeight="1">
      <c r="BA103" s="2"/>
      <c r="CQ103" s="31"/>
      <c r="CR103" s="31"/>
      <c r="CS103" s="31"/>
      <c r="CT103" s="31"/>
      <c r="CU103" s="31"/>
      <c r="CV103" s="31"/>
      <c r="CW103" s="31"/>
      <c r="DA103" s="7"/>
    </row>
    <row r="104" spans="53:105" ht="7.5" customHeight="1">
      <c r="BA104" s="2"/>
      <c r="CQ104" s="31"/>
      <c r="CR104" s="31"/>
      <c r="CS104" s="31"/>
      <c r="CT104" s="31"/>
      <c r="CU104" s="31"/>
      <c r="CV104" s="31"/>
      <c r="CW104" s="31"/>
      <c r="CX104" s="7"/>
      <c r="CY104" s="7"/>
      <c r="CZ104" s="7"/>
      <c r="DA104" s="7"/>
    </row>
    <row r="105" spans="95:105" ht="7.5" customHeight="1">
      <c r="CQ105" s="31"/>
      <c r="CR105" s="31"/>
      <c r="CS105" s="31"/>
      <c r="CT105" s="31"/>
      <c r="CU105" s="31"/>
      <c r="CV105" s="31"/>
      <c r="CW105" s="31"/>
      <c r="CX105" s="7"/>
      <c r="CY105" s="7"/>
      <c r="CZ105" s="7"/>
      <c r="DA105" s="7"/>
    </row>
    <row r="106" spans="53:105" ht="7.5" customHeight="1">
      <c r="BA106" s="2"/>
      <c r="CQ106" s="31"/>
      <c r="CR106" s="31"/>
      <c r="CS106" s="31"/>
      <c r="CT106" s="31"/>
      <c r="CU106" s="31"/>
      <c r="CV106" s="31"/>
      <c r="CW106" s="31"/>
      <c r="CX106" s="7"/>
      <c r="CY106" s="7"/>
      <c r="CZ106" s="7"/>
      <c r="DA106" s="7"/>
    </row>
    <row r="107" spans="53:106" ht="7.5" customHeight="1">
      <c r="BA107" s="2"/>
      <c r="CQ107" s="31"/>
      <c r="CT107" s="31"/>
      <c r="CU107" s="31"/>
      <c r="CV107" s="31"/>
      <c r="CW107" s="31"/>
      <c r="CX107" s="7"/>
      <c r="CY107" s="7"/>
      <c r="CZ107" s="7"/>
      <c r="DA107" s="7"/>
      <c r="DB107" s="7"/>
    </row>
    <row r="108" spans="95:108" ht="7.5" customHeight="1">
      <c r="CQ108" s="31"/>
      <c r="CX108" s="7"/>
      <c r="CY108" s="7"/>
      <c r="CZ108" s="7"/>
      <c r="DA108" s="7"/>
      <c r="DB108" s="7"/>
      <c r="DC108" s="7"/>
      <c r="DD108" s="7"/>
    </row>
    <row r="109" spans="94:109" ht="7.5" customHeight="1">
      <c r="CP109" s="7"/>
      <c r="CX109" s="7"/>
      <c r="CY109" s="7"/>
      <c r="CZ109" s="7"/>
      <c r="DA109" s="7"/>
      <c r="DB109" s="7"/>
      <c r="DC109" s="7"/>
      <c r="DD109" s="7"/>
      <c r="DE109" s="7"/>
    </row>
    <row r="110" spans="53:108" ht="7.5" customHeight="1">
      <c r="BA110" s="2"/>
      <c r="CP110" s="7"/>
      <c r="CX110" s="7"/>
      <c r="CY110" s="7"/>
      <c r="CZ110" s="7"/>
      <c r="DA110" s="7"/>
      <c r="DB110" s="7"/>
      <c r="DC110" s="7"/>
      <c r="DD110" s="7"/>
    </row>
    <row r="111" spans="53:108" ht="7.5" customHeight="1">
      <c r="BA111" s="2"/>
      <c r="CP111" s="7"/>
      <c r="CX111" s="7"/>
      <c r="CY111" s="7"/>
      <c r="CZ111" s="7"/>
      <c r="DA111" s="7"/>
      <c r="DB111" s="7"/>
      <c r="DC111" s="7"/>
      <c r="DD111" s="7"/>
    </row>
    <row r="112" spans="94:108" ht="7.5" customHeight="1">
      <c r="CP112" s="7"/>
      <c r="CX112" s="7"/>
      <c r="CY112" s="7"/>
      <c r="CZ112" s="7"/>
      <c r="DA112" s="7"/>
      <c r="DB112" s="7"/>
      <c r="DC112" s="7"/>
      <c r="DD112" s="7"/>
    </row>
    <row r="113" spans="53:108" ht="7.5" customHeight="1">
      <c r="BA113" s="7"/>
      <c r="CX113" s="7"/>
      <c r="CY113" s="7"/>
      <c r="CZ113" s="7"/>
      <c r="DA113" s="7"/>
      <c r="DB113" s="7"/>
      <c r="DC113" s="7"/>
      <c r="DD113" s="7"/>
    </row>
    <row r="114" spans="102:108" ht="7.5" customHeight="1">
      <c r="CX114" s="7"/>
      <c r="CY114" s="7"/>
      <c r="CZ114" s="7"/>
      <c r="DA114" s="7"/>
      <c r="DB114" s="7"/>
      <c r="DC114" s="7"/>
      <c r="DD114" s="7"/>
    </row>
    <row r="115" spans="102:108" ht="7.5" customHeight="1">
      <c r="CX115" s="7"/>
      <c r="CY115" s="7"/>
      <c r="CZ115" s="7"/>
      <c r="DA115" s="7"/>
      <c r="DB115" s="7"/>
      <c r="DC115" s="7"/>
      <c r="DD115" s="7"/>
    </row>
    <row r="116" spans="102:108" ht="7.5" customHeight="1">
      <c r="CX116" s="7"/>
      <c r="CY116" s="7"/>
      <c r="CZ116" s="7"/>
      <c r="DA116" s="7"/>
      <c r="DB116" s="7"/>
      <c r="DC116" s="7"/>
      <c r="DD116" s="7"/>
    </row>
    <row r="117" spans="3:108" s="18" customFormat="1" ht="7.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1"/>
      <c r="CY117" s="31"/>
      <c r="CZ117" s="31"/>
      <c r="DA117" s="31"/>
      <c r="DB117" s="31"/>
      <c r="DC117" s="31"/>
      <c r="DD117" s="31"/>
    </row>
    <row r="118" spans="3:108" s="18" customFormat="1" ht="7.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1"/>
      <c r="CY118" s="31"/>
      <c r="CZ118" s="31"/>
      <c r="DA118" s="31"/>
      <c r="DB118" s="31"/>
      <c r="DC118" s="31"/>
      <c r="DD118" s="31"/>
    </row>
    <row r="119" spans="3:108" s="18" customFormat="1" ht="7.5" customHeight="1">
      <c r="C119" s="2"/>
      <c r="D119" s="2"/>
      <c r="E119" s="2"/>
      <c r="F119" s="2"/>
      <c r="G119" s="2"/>
      <c r="H119" s="2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1"/>
      <c r="CY119" s="31"/>
      <c r="CZ119" s="31"/>
      <c r="DA119" s="31"/>
      <c r="DB119" s="31"/>
      <c r="DC119" s="31"/>
      <c r="DD119" s="31"/>
    </row>
    <row r="120" spans="3:108" s="18" customFormat="1" ht="7.5" customHeight="1">
      <c r="C120" s="2"/>
      <c r="D120" s="2"/>
      <c r="E120" s="2"/>
      <c r="F120" s="2"/>
      <c r="G120" s="2"/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1"/>
      <c r="CY120" s="31"/>
      <c r="CZ120" s="31"/>
      <c r="DA120" s="31"/>
      <c r="DB120" s="31"/>
      <c r="DC120" s="31"/>
      <c r="DD120" s="31"/>
    </row>
    <row r="121" spans="3:112" s="18" customFormat="1" ht="7.5" customHeight="1">
      <c r="C121" s="2"/>
      <c r="D121" s="2"/>
      <c r="E121" s="2"/>
      <c r="F121" s="2"/>
      <c r="G121" s="2"/>
      <c r="H121" s="2"/>
      <c r="I121" s="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3"/>
      <c r="AN121" s="3"/>
      <c r="AO121" s="3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</row>
    <row r="122" spans="3:113" s="18" customFormat="1" ht="7.5" customHeight="1">
      <c r="C122" s="2"/>
      <c r="D122" s="2"/>
      <c r="E122" s="2"/>
      <c r="F122" s="2"/>
      <c r="G122" s="2"/>
      <c r="H122" s="2"/>
      <c r="I122" s="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3"/>
      <c r="AN122" s="3"/>
      <c r="AO122" s="3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</row>
    <row r="123" spans="6:130" s="18" customFormat="1" ht="7.5" customHeight="1"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6:144" s="18" customFormat="1" ht="7.5" customHeight="1"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</row>
    <row r="125" spans="6:153" s="18" customFormat="1" ht="7.5" customHeight="1"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7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</row>
    <row r="126" spans="6:145" s="18" customFormat="1" ht="7.5" customHeight="1"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7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</row>
    <row r="127" spans="6:131" s="18" customFormat="1" ht="7.5" customHeight="1"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7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</row>
    <row r="128" spans="6:131" s="18" customFormat="1" ht="7.5" customHeight="1"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7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</row>
    <row r="129" spans="6:130" s="18" customFormat="1" ht="7.5" customHeight="1"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7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</row>
    <row r="130" spans="6:131" s="18" customFormat="1" ht="7.5" customHeight="1"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7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</row>
    <row r="131" ht="7.5" customHeight="1">
      <c r="CP131" s="7"/>
    </row>
    <row r="132" ht="7.5" customHeight="1">
      <c r="CP132" s="7"/>
    </row>
    <row r="133" spans="94:132" ht="7.5" customHeight="1">
      <c r="CP133" s="7"/>
      <c r="EB133" s="2"/>
    </row>
    <row r="134" spans="94:96" ht="7.5" customHeight="1">
      <c r="CP134" s="7"/>
      <c r="CR134" s="2"/>
    </row>
    <row r="135" ht="7.5" customHeight="1">
      <c r="CP135" s="7"/>
    </row>
    <row r="136" spans="5:95" ht="7.5" customHeight="1">
      <c r="E136" s="18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CP136" s="7"/>
      <c r="CQ136" s="2"/>
    </row>
    <row r="137" ht="7.5" customHeight="1">
      <c r="CP137" s="7"/>
    </row>
    <row r="138" ht="7.5" customHeight="1">
      <c r="CP138" s="7"/>
    </row>
    <row r="139" ht="7.5" customHeight="1">
      <c r="CP139" s="7"/>
    </row>
    <row r="140" ht="7.5" customHeight="1">
      <c r="CP140" s="7"/>
    </row>
    <row r="141" ht="7.5" customHeight="1">
      <c r="CP141" s="31"/>
    </row>
    <row r="142" ht="7.5" customHeight="1">
      <c r="CP142" s="31"/>
    </row>
    <row r="143" ht="7.5" customHeight="1">
      <c r="CP143" s="31"/>
    </row>
    <row r="144" ht="7.5" customHeight="1">
      <c r="CP144" s="31"/>
    </row>
    <row r="145" ht="7.5" customHeight="1">
      <c r="CP145" s="14"/>
    </row>
    <row r="146" ht="7.5" customHeight="1">
      <c r="CP146" s="14"/>
    </row>
    <row r="147" ht="7.5" customHeight="1">
      <c r="CP147" s="3" t="e">
        <f>VLOOKUP(1,#REF!,2,FALSE)</f>
        <v>#REF!</v>
      </c>
    </row>
    <row r="149" ht="7.5" customHeight="1">
      <c r="CP149" s="3" t="e">
        <f>VLOOKUP(1,#REF!,2,FALSE)</f>
        <v>#REF!</v>
      </c>
    </row>
    <row r="150" spans="39:129" ht="7.5" customHeight="1"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DQ150" s="2"/>
      <c r="DR150" s="12"/>
      <c r="DS150" s="12"/>
      <c r="DT150" s="12"/>
      <c r="DU150" s="12"/>
      <c r="DV150" s="12"/>
      <c r="DW150" s="12"/>
      <c r="DX150" s="12"/>
      <c r="DY150" s="12"/>
    </row>
    <row r="151" spans="39:94" ht="7.5" customHeight="1"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CP151" s="3" t="e">
        <f>VLOOKUP(1,#REF!,2,FALSE)</f>
        <v>#REF!</v>
      </c>
    </row>
    <row r="152" spans="96:101" ht="7.5" customHeight="1">
      <c r="CR152" s="2"/>
      <c r="CS152" s="2"/>
      <c r="CT152" s="2"/>
      <c r="CU152" s="2"/>
      <c r="CW152" s="18"/>
    </row>
    <row r="153" spans="6:102" s="18" customFormat="1" ht="7.5" customHeight="1"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AN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 t="e">
        <f>VLOOKUP(1,#REF!,2,FALSE)</f>
        <v>#REF!</v>
      </c>
      <c r="CQ153" s="3"/>
      <c r="CR153" s="2"/>
      <c r="CS153" s="2"/>
      <c r="CT153" s="2"/>
      <c r="CU153" s="2"/>
      <c r="CV153" s="2"/>
      <c r="CW153" s="2"/>
      <c r="CX153" s="3"/>
    </row>
    <row r="154" spans="6:138" s="18" customFormat="1" ht="7.5" customHeight="1"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2" t="e">
        <f>VLOOKUP(3,#REF!,2,FALSE)</f>
        <v>#REF!</v>
      </c>
      <c r="CR154" s="2"/>
      <c r="CS154" s="2"/>
      <c r="CT154" s="2"/>
      <c r="CU154" s="2"/>
      <c r="CV154" s="2"/>
      <c r="CW154" s="2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6:147" s="18" customFormat="1" ht="7.5" customHeight="1"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 t="e">
        <f>VLOOKUP(1,#REF!,2,FALSE)</f>
        <v>#REF!</v>
      </c>
      <c r="CQ155" s="2"/>
      <c r="CR155" s="2"/>
      <c r="CS155" s="2"/>
      <c r="CT155" s="2"/>
      <c r="CU155" s="2"/>
      <c r="CV155" s="2"/>
      <c r="CW155" s="2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</row>
    <row r="156" spans="6:139" s="18" customFormat="1" ht="7.5" customHeight="1"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2" t="e">
        <f>VLOOKUP(3,#REF!,2,FALSE)</f>
        <v>#REF!</v>
      </c>
      <c r="CR156" s="2"/>
      <c r="CS156" s="2"/>
      <c r="CT156" s="2"/>
      <c r="CU156" s="2"/>
      <c r="CV156" s="2"/>
      <c r="CW156" s="2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</row>
    <row r="157" spans="6:125" s="18" customFormat="1" ht="7.5" customHeight="1"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 t="s">
        <v>861</v>
      </c>
      <c r="CQ157" s="2"/>
      <c r="CR157" s="2"/>
      <c r="CS157" s="2"/>
      <c r="CT157" s="2"/>
      <c r="CU157" s="2"/>
      <c r="CV157" s="2"/>
      <c r="CW157" s="2"/>
      <c r="CX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</row>
    <row r="158" spans="6:125" s="18" customFormat="1" ht="7.5" customHeight="1"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2" t="e">
        <f>VLOOKUP(3,#REF!,2,FALSE)</f>
        <v>#REF!</v>
      </c>
      <c r="CR158" s="2"/>
      <c r="CS158" s="2"/>
      <c r="CT158" s="2"/>
      <c r="CU158" s="2"/>
      <c r="CV158" s="2"/>
      <c r="CW158" s="2"/>
      <c r="CX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</row>
    <row r="159" spans="6:125" s="18" customFormat="1" ht="7.5" customHeight="1"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2"/>
      <c r="CR159" s="2"/>
      <c r="CS159" s="2"/>
      <c r="CT159" s="2"/>
      <c r="CU159" s="2"/>
      <c r="CV159" s="2"/>
      <c r="CW159" s="2"/>
      <c r="CX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</row>
    <row r="160" spans="6:125" s="18" customFormat="1" ht="7.5" customHeight="1"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2" t="e">
        <f>VLOOKUP(3,#REF!,2,FALSE)</f>
        <v>#REF!</v>
      </c>
      <c r="CR160" s="2"/>
      <c r="CS160" s="2"/>
      <c r="CT160" s="2"/>
      <c r="CU160" s="2"/>
      <c r="CV160" s="2"/>
      <c r="CW160" s="2"/>
      <c r="CX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</row>
    <row r="161" spans="95:125" ht="7.5" customHeight="1">
      <c r="CQ161" s="2"/>
      <c r="CR161" s="2"/>
      <c r="CS161" s="2"/>
      <c r="CT161" s="2"/>
      <c r="CU161" s="2"/>
      <c r="CV161" s="2"/>
      <c r="CW161" s="2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</row>
    <row r="162" spans="95:101" ht="7.5" customHeight="1">
      <c r="CQ162" s="2" t="s">
        <v>862</v>
      </c>
      <c r="CR162" s="2"/>
      <c r="CS162" s="2"/>
      <c r="CT162" s="2"/>
      <c r="CU162" s="2"/>
      <c r="CV162" s="2"/>
      <c r="CW162" s="2"/>
    </row>
    <row r="163" spans="95:126" ht="7.5" customHeight="1">
      <c r="CQ163" s="2"/>
      <c r="CR163" s="2"/>
      <c r="CS163" s="2"/>
      <c r="CT163" s="2"/>
      <c r="CU163" s="2"/>
      <c r="CV163" s="2"/>
      <c r="CW163" s="2"/>
      <c r="DV163" s="2"/>
    </row>
    <row r="164" spans="95:101" ht="7.5" customHeight="1">
      <c r="CQ164" s="2" t="e">
        <f>VLOOKUP(3,#REF!,2,FALSE)</f>
        <v>#REF!</v>
      </c>
      <c r="CR164" s="2"/>
      <c r="CS164" s="2"/>
      <c r="CT164" s="2"/>
      <c r="CU164" s="2"/>
      <c r="CV164" s="2"/>
      <c r="CW164" s="2"/>
    </row>
    <row r="165" spans="95:100" ht="7.5" customHeight="1">
      <c r="CQ165" s="2"/>
      <c r="CR165" s="2"/>
      <c r="CS165" s="2"/>
      <c r="CT165" s="2"/>
      <c r="CU165" s="2"/>
      <c r="CV165" s="2"/>
    </row>
    <row r="166" spans="95:100" ht="7.5" customHeight="1">
      <c r="CQ166" s="2"/>
      <c r="CV166" s="2"/>
    </row>
    <row r="167" spans="95:102" ht="7.5" customHeight="1">
      <c r="CQ167" s="2"/>
      <c r="CX167" s="18"/>
    </row>
    <row r="168" spans="6:113" s="18" customFormat="1" ht="7.5" customHeight="1"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2"/>
      <c r="CY168" s="2"/>
      <c r="DB168" s="3"/>
      <c r="DC168" s="3"/>
      <c r="DD168" s="3"/>
      <c r="DE168" s="3"/>
      <c r="DF168" s="3"/>
      <c r="DG168" s="3"/>
      <c r="DH168" s="3"/>
      <c r="DI168" s="3"/>
    </row>
    <row r="169" spans="6:126" s="18" customFormat="1" ht="7.5" customHeight="1"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</row>
    <row r="170" spans="6:135" s="18" customFormat="1" ht="7.5" customHeight="1"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</row>
    <row r="171" spans="6:140" s="18" customFormat="1" ht="7.5" customHeight="1"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2"/>
      <c r="CY171" s="2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</row>
    <row r="172" spans="6:127" s="18" customFormat="1" ht="7.5" customHeight="1"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2"/>
      <c r="CY172" s="2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2"/>
    </row>
    <row r="173" spans="6:127" s="18" customFormat="1" ht="7.5" customHeight="1"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2"/>
      <c r="CY173" s="2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2"/>
    </row>
    <row r="174" spans="6:127" s="18" customFormat="1" ht="7.5" customHeight="1"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2"/>
      <c r="CQ174" s="3"/>
      <c r="CR174" s="3"/>
      <c r="CS174" s="3"/>
      <c r="CT174" s="3"/>
      <c r="CU174" s="3"/>
      <c r="CV174" s="3"/>
      <c r="CW174" s="3"/>
      <c r="CX174" s="2"/>
      <c r="CY174" s="2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</row>
    <row r="175" spans="6:127" s="18" customFormat="1" ht="7.5" customHeight="1"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2"/>
      <c r="CY175" s="2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3"/>
    </row>
    <row r="176" spans="102:127" ht="7.5" customHeight="1">
      <c r="CX176" s="2"/>
      <c r="CY176" s="2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2"/>
    </row>
    <row r="177" spans="94:127" ht="7.5" customHeight="1">
      <c r="CP177" s="3" t="e">
        <f>VLOOKUP(2,#REF!,2,FALSE)</f>
        <v>#REF!</v>
      </c>
      <c r="CX177" s="2"/>
      <c r="CY177" s="2"/>
      <c r="DW177" s="2"/>
    </row>
    <row r="178" spans="102:127" ht="7.5" customHeight="1">
      <c r="CX178" s="2"/>
      <c r="CY178" s="2"/>
      <c r="DW178" s="2"/>
    </row>
    <row r="179" spans="94:103" ht="7.5" customHeight="1">
      <c r="CP179" s="3" t="e">
        <f>VLOOKUP(2,#REF!,2,FALSE)</f>
        <v>#REF!</v>
      </c>
      <c r="CX179" s="2"/>
      <c r="CY179" s="2"/>
    </row>
    <row r="181" ht="7.5" customHeight="1">
      <c r="CP181" s="3" t="e">
        <f>VLOOKUP(2,#REF!,2,FALSE)</f>
        <v>#REF!</v>
      </c>
    </row>
    <row r="182" spans="3:52" ht="7.5" customHeight="1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3:94" ht="7.5" customHeight="1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CP183" s="3" t="e">
        <f>VLOOKUP(2,#REF!,2,FALSE)</f>
        <v>#REF!</v>
      </c>
    </row>
    <row r="185" ht="7.5" customHeight="1">
      <c r="CP185" s="3" t="e">
        <f>VLOOKUP(2,#REF!,2,FALSE)</f>
        <v>#REF!</v>
      </c>
    </row>
    <row r="187" ht="7.5" customHeight="1">
      <c r="CP187" s="3" t="s">
        <v>863</v>
      </c>
    </row>
    <row r="192" ht="7.5" customHeight="1">
      <c r="CP192" s="18"/>
    </row>
    <row r="193" ht="7.5" customHeight="1">
      <c r="CP193" s="32"/>
    </row>
    <row r="194" ht="7.5" customHeight="1">
      <c r="CP194" s="29"/>
    </row>
    <row r="195" ht="7.5" customHeight="1">
      <c r="CP195" s="33"/>
    </row>
    <row r="196" ht="7.5" customHeight="1">
      <c r="CP196" s="34"/>
    </row>
    <row r="197" ht="7.5" customHeight="1">
      <c r="CP197" s="32"/>
    </row>
    <row r="198" ht="7.5" customHeight="1">
      <c r="CP198" s="29"/>
    </row>
    <row r="199" ht="7.5" customHeight="1">
      <c r="CP199" s="33"/>
    </row>
    <row r="200" ht="7.5" customHeight="1">
      <c r="CP200" s="27"/>
    </row>
    <row r="201" ht="7.5" customHeight="1">
      <c r="CP201" s="32"/>
    </row>
    <row r="202" ht="7.5" customHeight="1">
      <c r="CP202" s="18"/>
    </row>
    <row r="203" ht="7.5" customHeight="1">
      <c r="CP203" s="33"/>
    </row>
    <row r="204" ht="7.5" customHeight="1">
      <c r="CP204" s="2"/>
    </row>
    <row r="205" ht="7.5" customHeight="1">
      <c r="CP205" s="2"/>
    </row>
  </sheetData>
  <mergeCells count="621">
    <mergeCell ref="CP1:DF3"/>
    <mergeCell ref="CL56:CN59"/>
    <mergeCell ref="CL75:CN78"/>
    <mergeCell ref="BE77:BP79"/>
    <mergeCell ref="BS75:BU78"/>
    <mergeCell ref="BE24:BI24"/>
    <mergeCell ref="BN24:BR24"/>
    <mergeCell ref="BN16:BR16"/>
    <mergeCell ref="BK16:BM17"/>
    <mergeCell ref="BE18:BI19"/>
    <mergeCell ref="C4:AX5"/>
    <mergeCell ref="BB4:DF5"/>
    <mergeCell ref="C23:AX24"/>
    <mergeCell ref="C42:AX43"/>
    <mergeCell ref="BS39:BU42"/>
    <mergeCell ref="CL31:CN34"/>
    <mergeCell ref="BJ10:BJ11"/>
    <mergeCell ref="BK10:BM11"/>
    <mergeCell ref="BB10:BD11"/>
    <mergeCell ref="BE10:BI11"/>
    <mergeCell ref="BA14:BA15"/>
    <mergeCell ref="AS14:AU15"/>
    <mergeCell ref="AN14:AQ16"/>
    <mergeCell ref="BA10:BA11"/>
    <mergeCell ref="L50:N51"/>
    <mergeCell ref="BA18:BA19"/>
    <mergeCell ref="BJ18:BJ19"/>
    <mergeCell ref="BA22:BA23"/>
    <mergeCell ref="BE20:BI20"/>
    <mergeCell ref="BB22:BD23"/>
    <mergeCell ref="BE22:BI23"/>
    <mergeCell ref="BJ22:BJ23"/>
    <mergeCell ref="BB18:BD19"/>
    <mergeCell ref="AR25:AR26"/>
    <mergeCell ref="F71:J72"/>
    <mergeCell ref="L71:N72"/>
    <mergeCell ref="L73:N74"/>
    <mergeCell ref="O71:S72"/>
    <mergeCell ref="B10:B11"/>
    <mergeCell ref="B14:B15"/>
    <mergeCell ref="B18:B19"/>
    <mergeCell ref="B29:B30"/>
    <mergeCell ref="B33:B34"/>
    <mergeCell ref="B37:B38"/>
    <mergeCell ref="B48:B49"/>
    <mergeCell ref="B52:B53"/>
    <mergeCell ref="B94:B95"/>
    <mergeCell ref="K10:K11"/>
    <mergeCell ref="K14:K15"/>
    <mergeCell ref="K18:K19"/>
    <mergeCell ref="K29:K30"/>
    <mergeCell ref="K33:K34"/>
    <mergeCell ref="K37:K38"/>
    <mergeCell ref="K48:K49"/>
    <mergeCell ref="B56:B57"/>
    <mergeCell ref="B67:B68"/>
    <mergeCell ref="C94:E95"/>
    <mergeCell ref="K67:K68"/>
    <mergeCell ref="K71:K72"/>
    <mergeCell ref="B86:B87"/>
    <mergeCell ref="B90:B91"/>
    <mergeCell ref="B71:B72"/>
    <mergeCell ref="B75:B76"/>
    <mergeCell ref="C86:E87"/>
    <mergeCell ref="C77:E78"/>
    <mergeCell ref="C90:E91"/>
    <mergeCell ref="AB86:AD88"/>
    <mergeCell ref="O75:S76"/>
    <mergeCell ref="F92:J92"/>
    <mergeCell ref="O92:S92"/>
    <mergeCell ref="K86:K87"/>
    <mergeCell ref="O77:S77"/>
    <mergeCell ref="F90:J91"/>
    <mergeCell ref="L77:N78"/>
    <mergeCell ref="K90:K91"/>
    <mergeCell ref="L90:N91"/>
    <mergeCell ref="K75:K76"/>
    <mergeCell ref="L86:N87"/>
    <mergeCell ref="T84:AA85"/>
    <mergeCell ref="T82:AA83"/>
    <mergeCell ref="C82:S85"/>
    <mergeCell ref="F77:J77"/>
    <mergeCell ref="L75:N76"/>
    <mergeCell ref="C80:AX81"/>
    <mergeCell ref="AE86:AE88"/>
    <mergeCell ref="W75:W77"/>
    <mergeCell ref="O94:S95"/>
    <mergeCell ref="O90:S91"/>
    <mergeCell ref="T90:V92"/>
    <mergeCell ref="AF56:AI58"/>
    <mergeCell ref="AB84:AI85"/>
    <mergeCell ref="AB71:AI74"/>
    <mergeCell ref="AF75:AI77"/>
    <mergeCell ref="AB67:AD69"/>
    <mergeCell ref="AE75:AE77"/>
    <mergeCell ref="W71:W73"/>
    <mergeCell ref="AM86:AM88"/>
    <mergeCell ref="AM29:AM31"/>
    <mergeCell ref="AM33:AM35"/>
    <mergeCell ref="AM48:AM50"/>
    <mergeCell ref="AM52:AM54"/>
    <mergeCell ref="AJ46:AQ47"/>
    <mergeCell ref="AN48:AQ50"/>
    <mergeCell ref="AJ48:AL50"/>
    <mergeCell ref="AN86:AQ88"/>
    <mergeCell ref="AJ71:AL73"/>
    <mergeCell ref="AR27:AS28"/>
    <mergeCell ref="AM67:AM69"/>
    <mergeCell ref="AM71:AM73"/>
    <mergeCell ref="AR37:AR38"/>
    <mergeCell ref="AR39:AR40"/>
    <mergeCell ref="AR44:AR45"/>
    <mergeCell ref="AR46:AS47"/>
    <mergeCell ref="AS37:AU38"/>
    <mergeCell ref="AT46:AY47"/>
    <mergeCell ref="AT65:AY66"/>
    <mergeCell ref="AR86:AR87"/>
    <mergeCell ref="AT44:AY45"/>
    <mergeCell ref="AS39:AU40"/>
    <mergeCell ref="AV39:AY40"/>
    <mergeCell ref="AR48:AR49"/>
    <mergeCell ref="AS48:AU49"/>
    <mergeCell ref="AR67:AR68"/>
    <mergeCell ref="AR50:AR51"/>
    <mergeCell ref="AR54:AR55"/>
    <mergeCell ref="AR65:AS66"/>
    <mergeCell ref="AR88:AR89"/>
    <mergeCell ref="AR71:AR72"/>
    <mergeCell ref="AR73:AR74"/>
    <mergeCell ref="AR75:AR76"/>
    <mergeCell ref="AR84:AS85"/>
    <mergeCell ref="AR77:AR78"/>
    <mergeCell ref="AR82:AR83"/>
    <mergeCell ref="AS86:AU87"/>
    <mergeCell ref="AS73:AU74"/>
    <mergeCell ref="AS71:AU72"/>
    <mergeCell ref="BA33:BA34"/>
    <mergeCell ref="AR56:AR57"/>
    <mergeCell ref="AR58:AR59"/>
    <mergeCell ref="AR63:AR64"/>
    <mergeCell ref="AT63:AY64"/>
    <mergeCell ref="AV58:AY59"/>
    <mergeCell ref="AV33:AY34"/>
    <mergeCell ref="AS56:AU57"/>
    <mergeCell ref="AV50:AY51"/>
    <mergeCell ref="AV54:AY55"/>
    <mergeCell ref="BB24:BD25"/>
    <mergeCell ref="BA29:BA30"/>
    <mergeCell ref="BV22:BV24"/>
    <mergeCell ref="BK18:BM19"/>
    <mergeCell ref="BN20:BR20"/>
    <mergeCell ref="BS22:BU24"/>
    <mergeCell ref="BN22:BR23"/>
    <mergeCell ref="BK24:BM25"/>
    <mergeCell ref="BN18:BR19"/>
    <mergeCell ref="BK22:BM23"/>
    <mergeCell ref="AF18:AI20"/>
    <mergeCell ref="CL14:CL16"/>
    <mergeCell ref="CY10:CY11"/>
    <mergeCell ref="CY18:CY19"/>
    <mergeCell ref="CT18:CX20"/>
    <mergeCell ref="BV14:BV16"/>
    <mergeCell ref="BV18:BV20"/>
    <mergeCell ref="BK14:BM15"/>
    <mergeCell ref="BN14:BR15"/>
    <mergeCell ref="AR16:AR17"/>
    <mergeCell ref="BB20:BD21"/>
    <mergeCell ref="BE16:BI16"/>
    <mergeCell ref="CY20:CY21"/>
    <mergeCell ref="CD18:CD20"/>
    <mergeCell ref="BK20:BM21"/>
    <mergeCell ref="CE18:CH20"/>
    <mergeCell ref="BS18:BU20"/>
    <mergeCell ref="BW18:BZ20"/>
    <mergeCell ref="CI18:CP21"/>
    <mergeCell ref="CQ18:CR20"/>
    <mergeCell ref="CS18:CS20"/>
    <mergeCell ref="C48:E49"/>
    <mergeCell ref="F48:J49"/>
    <mergeCell ref="C33:E34"/>
    <mergeCell ref="F33:J34"/>
    <mergeCell ref="C37:E38"/>
    <mergeCell ref="F37:J38"/>
    <mergeCell ref="C39:E40"/>
    <mergeCell ref="C35:E36"/>
    <mergeCell ref="W33:W35"/>
    <mergeCell ref="C25:S28"/>
    <mergeCell ref="W37:W39"/>
    <mergeCell ref="O29:S30"/>
    <mergeCell ref="T29:AA32"/>
    <mergeCell ref="C31:E32"/>
    <mergeCell ref="C29:E30"/>
    <mergeCell ref="F29:J30"/>
    <mergeCell ref="L29:N30"/>
    <mergeCell ref="O33:S34"/>
    <mergeCell ref="T33:V35"/>
    <mergeCell ref="CA73:CF75"/>
    <mergeCell ref="BL66:BR68"/>
    <mergeCell ref="CL83:CM84"/>
    <mergeCell ref="BV84:BZ85"/>
    <mergeCell ref="CH84:CK85"/>
    <mergeCell ref="CA77:CF78"/>
    <mergeCell ref="CH76:CK77"/>
    <mergeCell ref="CH79:CI80"/>
    <mergeCell ref="BZ80:CC81"/>
    <mergeCell ref="CD80:CG81"/>
    <mergeCell ref="BX79:BY80"/>
    <mergeCell ref="BV76:BY77"/>
    <mergeCell ref="BL85:BR87"/>
    <mergeCell ref="BS87:CG89"/>
    <mergeCell ref="BL81:BR83"/>
    <mergeCell ref="BA37:BA38"/>
    <mergeCell ref="BX36:BY37"/>
    <mergeCell ref="BL38:BR39"/>
    <mergeCell ref="BX60:BY61"/>
    <mergeCell ref="BE54:BK56"/>
    <mergeCell ref="BE38:BK39"/>
    <mergeCell ref="BL42:BR44"/>
    <mergeCell ref="BL54:BR56"/>
    <mergeCell ref="CQ58:CW60"/>
    <mergeCell ref="CP34:CW35"/>
    <mergeCell ref="CP38:CX41"/>
    <mergeCell ref="CP42:CW44"/>
    <mergeCell ref="CX42:DC44"/>
    <mergeCell ref="CX34:DC35"/>
    <mergeCell ref="BD52:CP53"/>
    <mergeCell ref="CL40:CM41"/>
    <mergeCell ref="CH41:CK42"/>
    <mergeCell ref="BE42:BK44"/>
    <mergeCell ref="CY85:DD87"/>
    <mergeCell ref="CX66:DC68"/>
    <mergeCell ref="CX54:DC56"/>
    <mergeCell ref="CX58:DC60"/>
    <mergeCell ref="CY73:DD75"/>
    <mergeCell ref="CY77:DD79"/>
    <mergeCell ref="CQ81:CX84"/>
    <mergeCell ref="CP85:CX87"/>
    <mergeCell ref="CP54:CW56"/>
    <mergeCell ref="CQ77:CX79"/>
    <mergeCell ref="BW22:BZ24"/>
    <mergeCell ref="CA22:CC24"/>
    <mergeCell ref="CI22:CK24"/>
    <mergeCell ref="CM22:CP24"/>
    <mergeCell ref="CE22:CH24"/>
    <mergeCell ref="CD22:CD24"/>
    <mergeCell ref="DC24:DF25"/>
    <mergeCell ref="CQ22:CX25"/>
    <mergeCell ref="DC22:DF23"/>
    <mergeCell ref="CX30:CZ31"/>
    <mergeCell ref="CY24:CY25"/>
    <mergeCell ref="CZ24:DB25"/>
    <mergeCell ref="CZ22:DB23"/>
    <mergeCell ref="CY22:CY23"/>
    <mergeCell ref="CH36:CI37"/>
    <mergeCell ref="CH57:CK58"/>
    <mergeCell ref="BV27:CI28"/>
    <mergeCell ref="CA31:CF32"/>
    <mergeCell ref="BZ37:CC38"/>
    <mergeCell ref="CA34:CF35"/>
    <mergeCell ref="BV33:BY34"/>
    <mergeCell ref="CB48:CC49"/>
    <mergeCell ref="CH48:CJ49"/>
    <mergeCell ref="CD49:CG50"/>
    <mergeCell ref="DC14:DF15"/>
    <mergeCell ref="BE30:BK31"/>
    <mergeCell ref="DC18:DF19"/>
    <mergeCell ref="CZ20:DB21"/>
    <mergeCell ref="DC20:DF21"/>
    <mergeCell ref="CZ18:DB19"/>
    <mergeCell ref="BL30:BR31"/>
    <mergeCell ref="CA18:CC20"/>
    <mergeCell ref="CL22:CL24"/>
    <mergeCell ref="DC16:DF17"/>
    <mergeCell ref="CD10:CD12"/>
    <mergeCell ref="CM14:CP16"/>
    <mergeCell ref="CE10:CH12"/>
    <mergeCell ref="CQ30:CW31"/>
    <mergeCell ref="CQ10:CR12"/>
    <mergeCell ref="CS10:CS12"/>
    <mergeCell ref="CT10:CX12"/>
    <mergeCell ref="CQ14:CR16"/>
    <mergeCell ref="CS14:CS16"/>
    <mergeCell ref="CT14:CX16"/>
    <mergeCell ref="CZ12:DB13"/>
    <mergeCell ref="CY16:CY17"/>
    <mergeCell ref="CY12:CY13"/>
    <mergeCell ref="CY14:CY15"/>
    <mergeCell ref="AV69:AY70"/>
    <mergeCell ref="AS58:AU59"/>
    <mergeCell ref="AR69:AR70"/>
    <mergeCell ref="AS67:AU68"/>
    <mergeCell ref="AV67:AY68"/>
    <mergeCell ref="AS69:AU70"/>
    <mergeCell ref="C61:AX62"/>
    <mergeCell ref="AB65:AI66"/>
    <mergeCell ref="L69:N70"/>
    <mergeCell ref="T65:AA66"/>
    <mergeCell ref="DA6:DF7"/>
    <mergeCell ref="BS8:BZ9"/>
    <mergeCell ref="CA8:CH9"/>
    <mergeCell ref="CI8:CP9"/>
    <mergeCell ref="CQ8:CX9"/>
    <mergeCell ref="CY8:CZ9"/>
    <mergeCell ref="DA8:DF9"/>
    <mergeCell ref="CI6:CP7"/>
    <mergeCell ref="CQ6:CX7"/>
    <mergeCell ref="CY6:CY7"/>
    <mergeCell ref="DC10:DF11"/>
    <mergeCell ref="BB12:BD13"/>
    <mergeCell ref="BK12:BM13"/>
    <mergeCell ref="DC12:DF13"/>
    <mergeCell ref="CM10:CP12"/>
    <mergeCell ref="BS10:BZ13"/>
    <mergeCell ref="CZ10:DB11"/>
    <mergeCell ref="CA10:CC12"/>
    <mergeCell ref="BE12:BI12"/>
    <mergeCell ref="CL10:CL12"/>
    <mergeCell ref="BB14:BD15"/>
    <mergeCell ref="CZ14:DB15"/>
    <mergeCell ref="BS14:BU16"/>
    <mergeCell ref="CA14:CH17"/>
    <mergeCell ref="CI14:CK16"/>
    <mergeCell ref="BJ14:BJ15"/>
    <mergeCell ref="CZ16:DB17"/>
    <mergeCell ref="BW14:BZ16"/>
    <mergeCell ref="BB16:BD17"/>
    <mergeCell ref="BE34:BP35"/>
    <mergeCell ref="CD37:CG38"/>
    <mergeCell ref="AJ86:AL88"/>
    <mergeCell ref="AV94:AY95"/>
    <mergeCell ref="AJ94:AQ97"/>
    <mergeCell ref="AV92:AY93"/>
    <mergeCell ref="AN71:AQ73"/>
    <mergeCell ref="AR52:AR53"/>
    <mergeCell ref="AN67:AQ69"/>
    <mergeCell ref="AJ67:AL69"/>
    <mergeCell ref="AS96:AU97"/>
    <mergeCell ref="AV96:AY97"/>
    <mergeCell ref="AB94:AD96"/>
    <mergeCell ref="AS94:AU95"/>
    <mergeCell ref="AE94:AE96"/>
    <mergeCell ref="F94:J95"/>
    <mergeCell ref="L96:N97"/>
    <mergeCell ref="AR96:AR97"/>
    <mergeCell ref="AF94:AI96"/>
    <mergeCell ref="AR94:AR95"/>
    <mergeCell ref="T94:V96"/>
    <mergeCell ref="W94:W96"/>
    <mergeCell ref="K94:K95"/>
    <mergeCell ref="L94:N95"/>
    <mergeCell ref="O96:S96"/>
    <mergeCell ref="C96:E97"/>
    <mergeCell ref="X94:AA96"/>
    <mergeCell ref="F96:J96"/>
    <mergeCell ref="AV88:AY89"/>
    <mergeCell ref="AS88:AU89"/>
    <mergeCell ref="AS90:AU91"/>
    <mergeCell ref="AS92:AU93"/>
    <mergeCell ref="AV90:AY91"/>
    <mergeCell ref="AJ90:AL92"/>
    <mergeCell ref="AN90:AQ92"/>
    <mergeCell ref="AR90:AR91"/>
    <mergeCell ref="AR92:AR93"/>
    <mergeCell ref="AM90:AM92"/>
    <mergeCell ref="W90:W92"/>
    <mergeCell ref="AB90:AI93"/>
    <mergeCell ref="X90:AA92"/>
    <mergeCell ref="C88:E89"/>
    <mergeCell ref="L88:N89"/>
    <mergeCell ref="C92:E93"/>
    <mergeCell ref="AF86:AI88"/>
    <mergeCell ref="T86:AA89"/>
    <mergeCell ref="F86:J87"/>
    <mergeCell ref="O86:S87"/>
    <mergeCell ref="F88:J88"/>
    <mergeCell ref="O88:S88"/>
    <mergeCell ref="L92:N93"/>
    <mergeCell ref="X71:AA73"/>
    <mergeCell ref="O67:S68"/>
    <mergeCell ref="T67:AA70"/>
    <mergeCell ref="O73:S73"/>
    <mergeCell ref="L67:N68"/>
    <mergeCell ref="C69:E70"/>
    <mergeCell ref="T71:V73"/>
    <mergeCell ref="C71:E72"/>
    <mergeCell ref="C67:E68"/>
    <mergeCell ref="C73:E74"/>
    <mergeCell ref="F67:J68"/>
    <mergeCell ref="F69:J69"/>
    <mergeCell ref="O69:S69"/>
    <mergeCell ref="F73:J73"/>
    <mergeCell ref="AJ75:AQ78"/>
    <mergeCell ref="AJ56:AQ59"/>
    <mergeCell ref="AJ52:AL54"/>
    <mergeCell ref="AB52:AI55"/>
    <mergeCell ref="AJ65:AQ66"/>
    <mergeCell ref="AB56:AD58"/>
    <mergeCell ref="AB63:AI64"/>
    <mergeCell ref="AJ63:AQ64"/>
    <mergeCell ref="AF67:AI69"/>
    <mergeCell ref="AE67:AE69"/>
    <mergeCell ref="F54:J54"/>
    <mergeCell ref="F58:J58"/>
    <mergeCell ref="F56:J57"/>
    <mergeCell ref="L56:N57"/>
    <mergeCell ref="C63:S66"/>
    <mergeCell ref="C58:E59"/>
    <mergeCell ref="C56:E57"/>
    <mergeCell ref="O56:S57"/>
    <mergeCell ref="L58:N59"/>
    <mergeCell ref="K52:K53"/>
    <mergeCell ref="K56:K57"/>
    <mergeCell ref="W52:W54"/>
    <mergeCell ref="W56:W58"/>
    <mergeCell ref="O52:S53"/>
    <mergeCell ref="T52:V54"/>
    <mergeCell ref="O54:S54"/>
    <mergeCell ref="O58:S58"/>
    <mergeCell ref="T56:V58"/>
    <mergeCell ref="L54:N55"/>
    <mergeCell ref="F31:J31"/>
    <mergeCell ref="O31:S31"/>
    <mergeCell ref="F35:J35"/>
    <mergeCell ref="L35:N36"/>
    <mergeCell ref="L31:N32"/>
    <mergeCell ref="L33:N34"/>
    <mergeCell ref="O35:S35"/>
    <mergeCell ref="C20:E21"/>
    <mergeCell ref="O18:S19"/>
    <mergeCell ref="L20:N21"/>
    <mergeCell ref="W18:W20"/>
    <mergeCell ref="T18:V20"/>
    <mergeCell ref="C12:E13"/>
    <mergeCell ref="L12:N13"/>
    <mergeCell ref="L18:N19"/>
    <mergeCell ref="O16:S16"/>
    <mergeCell ref="C18:E19"/>
    <mergeCell ref="C14:E15"/>
    <mergeCell ref="L16:N17"/>
    <mergeCell ref="C10:E11"/>
    <mergeCell ref="F10:J11"/>
    <mergeCell ref="T14:V16"/>
    <mergeCell ref="X14:AA16"/>
    <mergeCell ref="O14:S15"/>
    <mergeCell ref="F12:J12"/>
    <mergeCell ref="O12:S12"/>
    <mergeCell ref="C16:E17"/>
    <mergeCell ref="F14:J15"/>
    <mergeCell ref="F16:J16"/>
    <mergeCell ref="AJ27:AQ28"/>
    <mergeCell ref="F20:J20"/>
    <mergeCell ref="O20:S20"/>
    <mergeCell ref="X18:AA20"/>
    <mergeCell ref="AB18:AD20"/>
    <mergeCell ref="F18:J19"/>
    <mergeCell ref="T25:AA26"/>
    <mergeCell ref="AB25:AI26"/>
    <mergeCell ref="AE18:AE20"/>
    <mergeCell ref="AJ25:AQ26"/>
    <mergeCell ref="AJ8:AQ9"/>
    <mergeCell ref="C1:CO3"/>
    <mergeCell ref="BN10:BR11"/>
    <mergeCell ref="BB6:BR9"/>
    <mergeCell ref="BS6:BZ7"/>
    <mergeCell ref="CA6:CH7"/>
    <mergeCell ref="CI10:CK12"/>
    <mergeCell ref="BN12:BR12"/>
    <mergeCell ref="AE10:AE12"/>
    <mergeCell ref="AT8:AY9"/>
    <mergeCell ref="AR8:AS9"/>
    <mergeCell ref="O10:S11"/>
    <mergeCell ref="AR10:AR11"/>
    <mergeCell ref="AR12:AR13"/>
    <mergeCell ref="T10:AA13"/>
    <mergeCell ref="AM10:AM12"/>
    <mergeCell ref="AS10:AU11"/>
    <mergeCell ref="C6:S9"/>
    <mergeCell ref="T8:AA9"/>
    <mergeCell ref="AB8:AI9"/>
    <mergeCell ref="AR6:AR7"/>
    <mergeCell ref="BE14:BI15"/>
    <mergeCell ref="T6:AA7"/>
    <mergeCell ref="AB6:AI7"/>
    <mergeCell ref="AJ6:AQ7"/>
    <mergeCell ref="AV12:AY13"/>
    <mergeCell ref="AN10:AQ12"/>
    <mergeCell ref="AV10:AY11"/>
    <mergeCell ref="AT6:AY7"/>
    <mergeCell ref="AS12:AU13"/>
    <mergeCell ref="L10:N11"/>
    <mergeCell ref="L14:N15"/>
    <mergeCell ref="AJ10:AL12"/>
    <mergeCell ref="AJ14:AL16"/>
    <mergeCell ref="W14:W16"/>
    <mergeCell ref="AB14:AI17"/>
    <mergeCell ref="AF10:AI12"/>
    <mergeCell ref="AB10:AD12"/>
    <mergeCell ref="AS20:AU21"/>
    <mergeCell ref="AS18:AU19"/>
    <mergeCell ref="AJ18:AQ21"/>
    <mergeCell ref="AR14:AR15"/>
    <mergeCell ref="AR18:AR19"/>
    <mergeCell ref="AR20:AR21"/>
    <mergeCell ref="AM14:AM16"/>
    <mergeCell ref="AV18:AY19"/>
    <mergeCell ref="AS16:AU17"/>
    <mergeCell ref="AV31:AY32"/>
    <mergeCell ref="AV14:AY15"/>
    <mergeCell ref="AV16:AY17"/>
    <mergeCell ref="AV20:AY21"/>
    <mergeCell ref="AV29:AY30"/>
    <mergeCell ref="AT25:AY26"/>
    <mergeCell ref="AT27:AY28"/>
    <mergeCell ref="AS31:AU32"/>
    <mergeCell ref="AE29:AE31"/>
    <mergeCell ref="AF29:AI31"/>
    <mergeCell ref="AS29:AU30"/>
    <mergeCell ref="T27:AA28"/>
    <mergeCell ref="AB29:AD31"/>
    <mergeCell ref="AN29:AQ31"/>
    <mergeCell ref="AJ29:AL31"/>
    <mergeCell ref="AR29:AR30"/>
    <mergeCell ref="AR31:AR32"/>
    <mergeCell ref="AB27:AI28"/>
    <mergeCell ref="AV35:AY36"/>
    <mergeCell ref="AS35:AU36"/>
    <mergeCell ref="AR35:AR36"/>
    <mergeCell ref="AR33:AR34"/>
    <mergeCell ref="AS33:AU34"/>
    <mergeCell ref="AJ37:AQ40"/>
    <mergeCell ref="X37:AA39"/>
    <mergeCell ref="AN33:AQ35"/>
    <mergeCell ref="AE37:AE39"/>
    <mergeCell ref="X33:AA35"/>
    <mergeCell ref="AB33:AI36"/>
    <mergeCell ref="AJ33:AL35"/>
    <mergeCell ref="AF37:AI39"/>
    <mergeCell ref="O39:S39"/>
    <mergeCell ref="AB37:AD39"/>
    <mergeCell ref="AV86:AY87"/>
    <mergeCell ref="AV71:AY72"/>
    <mergeCell ref="AV73:AY74"/>
    <mergeCell ref="AV56:AY57"/>
    <mergeCell ref="AT82:AY83"/>
    <mergeCell ref="AT84:AY85"/>
    <mergeCell ref="AS77:AU78"/>
    <mergeCell ref="AV77:AY78"/>
    <mergeCell ref="AS75:AU76"/>
    <mergeCell ref="AV75:AY76"/>
    <mergeCell ref="BS82:BU85"/>
    <mergeCell ref="BE81:BK83"/>
    <mergeCell ref="BE85:BK87"/>
    <mergeCell ref="BL73:BR75"/>
    <mergeCell ref="BH71:CT72"/>
    <mergeCell ref="CH65:CK66"/>
    <mergeCell ref="BE73:BK75"/>
    <mergeCell ref="CO62:CW65"/>
    <mergeCell ref="CQ66:CW68"/>
    <mergeCell ref="CQ73:CX75"/>
    <mergeCell ref="CL64:CM65"/>
    <mergeCell ref="BL62:BR64"/>
    <mergeCell ref="BE66:BK68"/>
    <mergeCell ref="BV65:BZ66"/>
    <mergeCell ref="CH60:CI61"/>
    <mergeCell ref="BZ61:CC62"/>
    <mergeCell ref="CD61:CG62"/>
    <mergeCell ref="BS63:BU66"/>
    <mergeCell ref="CA58:CF59"/>
    <mergeCell ref="BV57:BY58"/>
    <mergeCell ref="BE58:BP59"/>
    <mergeCell ref="CA54:CF56"/>
    <mergeCell ref="L37:N38"/>
    <mergeCell ref="AV37:AY38"/>
    <mergeCell ref="AJ44:AQ45"/>
    <mergeCell ref="T44:AA45"/>
    <mergeCell ref="C44:S47"/>
    <mergeCell ref="O37:S38"/>
    <mergeCell ref="T37:V39"/>
    <mergeCell ref="F39:J39"/>
    <mergeCell ref="L39:N40"/>
    <mergeCell ref="AB46:AI47"/>
    <mergeCell ref="AS52:AU53"/>
    <mergeCell ref="T46:AA47"/>
    <mergeCell ref="AE48:AE50"/>
    <mergeCell ref="BE62:BK64"/>
    <mergeCell ref="AV52:AY53"/>
    <mergeCell ref="AS54:AU55"/>
    <mergeCell ref="T63:AA64"/>
    <mergeCell ref="X52:AA54"/>
    <mergeCell ref="X56:AA58"/>
    <mergeCell ref="AE56:AE58"/>
    <mergeCell ref="O50:S50"/>
    <mergeCell ref="BV41:BZ42"/>
    <mergeCell ref="BS44:CG46"/>
    <mergeCell ref="BR49:BZ50"/>
    <mergeCell ref="BR47:BZ48"/>
    <mergeCell ref="AV48:AY49"/>
    <mergeCell ref="AS50:AU51"/>
    <mergeCell ref="O48:S49"/>
    <mergeCell ref="AF48:AI50"/>
    <mergeCell ref="AB44:AI45"/>
    <mergeCell ref="C52:E53"/>
    <mergeCell ref="F52:J53"/>
    <mergeCell ref="AN52:AQ54"/>
    <mergeCell ref="T48:AA51"/>
    <mergeCell ref="AB48:AD50"/>
    <mergeCell ref="L48:N49"/>
    <mergeCell ref="C50:E51"/>
    <mergeCell ref="C54:E55"/>
    <mergeCell ref="L52:N53"/>
    <mergeCell ref="F50:J50"/>
    <mergeCell ref="B98:CK99"/>
    <mergeCell ref="CH33:CK34"/>
    <mergeCell ref="T75:V77"/>
    <mergeCell ref="X75:AA77"/>
    <mergeCell ref="AB75:AD77"/>
    <mergeCell ref="F75:J76"/>
    <mergeCell ref="AJ84:AQ85"/>
    <mergeCell ref="C75:E76"/>
    <mergeCell ref="AB82:AI83"/>
    <mergeCell ref="AJ82:AQ83"/>
  </mergeCells>
  <conditionalFormatting sqref="C22:AZ22">
    <cfRule type="expression" priority="1" dxfId="4" stopIfTrue="1">
      <formula>$AM$21=2</formula>
    </cfRule>
    <cfRule type="expression" priority="2" dxfId="3" stopIfTrue="1">
      <formula>$AM$21=1</formula>
    </cfRule>
  </conditionalFormatting>
  <conditionalFormatting sqref="C41:AZ41">
    <cfRule type="expression" priority="3" dxfId="4" stopIfTrue="1">
      <formula>$AM$40=2</formula>
    </cfRule>
    <cfRule type="expression" priority="4" dxfId="3" stopIfTrue="1">
      <formula>$AM$40=1</formula>
    </cfRule>
  </conditionalFormatting>
  <conditionalFormatting sqref="AJ86 AE86 AB89:AQ89 T10:AA13 AM10 AB10 AJ10 AE10 AB13:AQ13 T29:AA32 AM29 AB29 AJ29 AE29 AB32:AQ32 T48:AA51 AM48 AB48 AJ48 AE48 AB51:AQ51 T67:AA70 AM67 AB67 AJ67 AE67 AB70:AQ70 T86:AA89 AM86 AB86">
    <cfRule type="expression" priority="5" dxfId="2" stopIfTrue="1">
      <formula>$AV$14=2</formula>
    </cfRule>
    <cfRule type="expression" priority="6" dxfId="3" stopIfTrue="1">
      <formula>$AV$14=1</formula>
    </cfRule>
  </conditionalFormatting>
  <conditionalFormatting sqref="T14 W14 AM14 T17:AA17 AJ17:AQ17 AB14:AJ14 AB15:AI17 T33 W33 AM33 T36:AA36 AJ36:AQ36 AB33:AJ33 AB34:AI36 T52 W52 AM52 T55:AA55 AJ55:AQ55 AB52:AJ52 AB53:AI55 T71 W71 AM71 T74:AA74 AJ74:AQ74 AB71:AJ71 AB72:AI74 T90 W90 AM90 T93:AA93 AJ93:AQ93 AB90:AJ90 AB91:AI93">
    <cfRule type="expression" priority="7" dxfId="2" stopIfTrue="1">
      <formula>$AV$18=2</formula>
    </cfRule>
    <cfRule type="expression" priority="8" dxfId="3" stopIfTrue="1">
      <formula>$AV$18=1</formula>
    </cfRule>
  </conditionalFormatting>
  <conditionalFormatting sqref="T18 W18 AB18 AE18 AJ18:AQ21 T21:AI21 T37 W37 AB37 AE37 AJ37:AQ40 T40:AI40 T56 W56 AB56 AE56 AJ56:AQ59 T59:AI59 T75 W75 AB75 AE75 AJ75:AQ78 T78:AI78 T94 W94 AB94 AE94 AJ94:AQ97 T97:AI97">
    <cfRule type="expression" priority="9" dxfId="2" stopIfTrue="1">
      <formula>$AV$22=2</formula>
    </cfRule>
    <cfRule type="expression" priority="10" dxfId="3" stopIfTrue="1">
      <formula>$AV$22=1</formula>
    </cfRule>
  </conditionalFormatting>
  <printOptions/>
  <pageMargins left="0" right="0" top="0" bottom="0" header="0.3145833333333333" footer="0.3145833333333333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4:BA107"/>
  <sheetViews>
    <sheetView tabSelected="1" zoomScaleSheetLayoutView="100" workbookViewId="0" topLeftCell="A1">
      <selection activeCell="AD81" sqref="AD81"/>
    </sheetView>
  </sheetViews>
  <sheetFormatPr defaultColWidth="1.25" defaultRowHeight="7.5" customHeight="1"/>
  <cols>
    <col min="1" max="16384" width="1.25" style="3" customWidth="1"/>
  </cols>
  <sheetData>
    <row r="44" spans="1:51" ht="7.5" customHeight="1">
      <c r="A44" s="426" t="s">
        <v>1855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</row>
    <row r="45" spans="1:51" ht="7.5" customHeight="1">
      <c r="A45" s="426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</row>
    <row r="46" spans="1:51" ht="7.5" customHeight="1">
      <c r="A46" s="426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</row>
    <row r="47" spans="1:51" ht="7.5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</row>
    <row r="74" spans="1:52" ht="7.5" customHeight="1">
      <c r="A74" s="653" t="s">
        <v>1858</v>
      </c>
      <c r="B74" s="653"/>
      <c r="C74" s="653"/>
      <c r="D74" s="653"/>
      <c r="E74" s="653"/>
      <c r="F74" s="653"/>
      <c r="G74" s="653"/>
      <c r="H74" s="653"/>
      <c r="I74" s="653"/>
      <c r="J74" s="653"/>
      <c r="K74" s="653"/>
      <c r="L74" s="653"/>
      <c r="M74" s="653"/>
      <c r="N74" s="653"/>
      <c r="O74" s="653"/>
      <c r="P74" s="653"/>
      <c r="Q74" s="653"/>
      <c r="R74" s="653"/>
      <c r="S74" s="653"/>
      <c r="T74" s="653"/>
      <c r="U74" s="653"/>
      <c r="V74" s="653"/>
      <c r="W74" s="653"/>
      <c r="X74" s="653"/>
      <c r="Y74" s="653"/>
      <c r="Z74" s="653"/>
      <c r="AA74" s="653"/>
      <c r="AB74" s="653"/>
      <c r="AC74" s="653"/>
      <c r="AD74" s="653"/>
      <c r="AE74" s="653"/>
      <c r="AF74" s="653"/>
      <c r="AG74" s="653"/>
      <c r="AH74" s="653"/>
      <c r="AI74" s="653"/>
      <c r="AJ74" s="653"/>
      <c r="AK74" s="653"/>
      <c r="AL74" s="653"/>
      <c r="AM74" s="653"/>
      <c r="AN74" s="653"/>
      <c r="AO74" s="653"/>
      <c r="AP74" s="653"/>
      <c r="AQ74" s="653"/>
      <c r="AR74" s="653"/>
      <c r="AS74" s="653"/>
      <c r="AT74" s="653"/>
      <c r="AU74" s="653"/>
      <c r="AV74" s="653"/>
      <c r="AW74" s="653"/>
      <c r="AX74" s="653"/>
      <c r="AY74" s="653"/>
      <c r="AZ74" s="653"/>
    </row>
    <row r="75" spans="1:52" ht="7.5" customHeight="1">
      <c r="A75" s="653"/>
      <c r="B75" s="653"/>
      <c r="C75" s="653"/>
      <c r="D75" s="653"/>
      <c r="E75" s="653"/>
      <c r="F75" s="653"/>
      <c r="G75" s="653"/>
      <c r="H75" s="653"/>
      <c r="I75" s="653"/>
      <c r="J75" s="653"/>
      <c r="K75" s="653"/>
      <c r="L75" s="653"/>
      <c r="M75" s="653"/>
      <c r="N75" s="653"/>
      <c r="O75" s="653"/>
      <c r="P75" s="653"/>
      <c r="Q75" s="653"/>
      <c r="R75" s="653"/>
      <c r="S75" s="653"/>
      <c r="T75" s="653"/>
      <c r="U75" s="653"/>
      <c r="V75" s="653"/>
      <c r="W75" s="653"/>
      <c r="X75" s="653"/>
      <c r="Y75" s="653"/>
      <c r="Z75" s="653"/>
      <c r="AA75" s="653"/>
      <c r="AB75" s="653"/>
      <c r="AC75" s="653"/>
      <c r="AD75" s="653"/>
      <c r="AE75" s="653"/>
      <c r="AF75" s="653"/>
      <c r="AG75" s="653"/>
      <c r="AH75" s="653"/>
      <c r="AI75" s="653"/>
      <c r="AJ75" s="653"/>
      <c r="AK75" s="653"/>
      <c r="AL75" s="653"/>
      <c r="AM75" s="653"/>
      <c r="AN75" s="653"/>
      <c r="AO75" s="653"/>
      <c r="AP75" s="653"/>
      <c r="AQ75" s="653"/>
      <c r="AR75" s="653"/>
      <c r="AS75" s="653"/>
      <c r="AT75" s="653"/>
      <c r="AU75" s="653"/>
      <c r="AV75" s="653"/>
      <c r="AW75" s="653"/>
      <c r="AX75" s="653"/>
      <c r="AY75" s="653"/>
      <c r="AZ75" s="653"/>
    </row>
    <row r="76" spans="1:52" ht="7.5" customHeight="1">
      <c r="A76" s="653"/>
      <c r="B76" s="653"/>
      <c r="C76" s="653"/>
      <c r="D76" s="653"/>
      <c r="E76" s="653"/>
      <c r="F76" s="653"/>
      <c r="G76" s="653"/>
      <c r="H76" s="653"/>
      <c r="I76" s="653"/>
      <c r="J76" s="653"/>
      <c r="K76" s="653"/>
      <c r="L76" s="653"/>
      <c r="M76" s="653"/>
      <c r="N76" s="653"/>
      <c r="O76" s="653"/>
      <c r="P76" s="653"/>
      <c r="Q76" s="653"/>
      <c r="R76" s="653"/>
      <c r="S76" s="653"/>
      <c r="T76" s="653"/>
      <c r="U76" s="653"/>
      <c r="V76" s="653"/>
      <c r="W76" s="653"/>
      <c r="X76" s="653"/>
      <c r="Y76" s="653"/>
      <c r="Z76" s="653"/>
      <c r="AA76" s="653"/>
      <c r="AB76" s="653"/>
      <c r="AC76" s="653"/>
      <c r="AD76" s="653"/>
      <c r="AE76" s="653"/>
      <c r="AF76" s="653"/>
      <c r="AG76" s="653"/>
      <c r="AH76" s="653"/>
      <c r="AI76" s="653"/>
      <c r="AJ76" s="653"/>
      <c r="AK76" s="653"/>
      <c r="AL76" s="653"/>
      <c r="AM76" s="653"/>
      <c r="AN76" s="653"/>
      <c r="AO76" s="653"/>
      <c r="AP76" s="653"/>
      <c r="AQ76" s="653"/>
      <c r="AR76" s="653"/>
      <c r="AS76" s="653"/>
      <c r="AT76" s="653"/>
      <c r="AU76" s="653"/>
      <c r="AV76" s="653"/>
      <c r="AW76" s="653"/>
      <c r="AX76" s="653"/>
      <c r="AY76" s="653"/>
      <c r="AZ76" s="653"/>
    </row>
    <row r="77" spans="1:52" ht="7.5" customHeight="1">
      <c r="A77" s="653"/>
      <c r="B77" s="653"/>
      <c r="C77" s="653"/>
      <c r="D77" s="653"/>
      <c r="E77" s="653"/>
      <c r="F77" s="653"/>
      <c r="G77" s="653"/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3"/>
      <c r="U77" s="653"/>
      <c r="V77" s="65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653"/>
      <c r="AL77" s="653"/>
      <c r="AM77" s="653"/>
      <c r="AN77" s="653"/>
      <c r="AO77" s="653"/>
      <c r="AP77" s="653"/>
      <c r="AQ77" s="653"/>
      <c r="AR77" s="653"/>
      <c r="AS77" s="653"/>
      <c r="AT77" s="653"/>
      <c r="AU77" s="653"/>
      <c r="AV77" s="653"/>
      <c r="AW77" s="653"/>
      <c r="AX77" s="653"/>
      <c r="AY77" s="653"/>
      <c r="AZ77" s="653"/>
    </row>
    <row r="107" spans="1:53" ht="27.75" customHeight="1">
      <c r="A107" s="426" t="s">
        <v>0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/>
      <c r="AV107" s="426"/>
      <c r="AW107" s="426"/>
      <c r="AX107" s="426"/>
      <c r="AY107" s="426"/>
      <c r="AZ107" s="426"/>
      <c r="BA107" s="426"/>
    </row>
  </sheetData>
  <mergeCells count="3">
    <mergeCell ref="A107:BA107"/>
    <mergeCell ref="A44:AY47"/>
    <mergeCell ref="A74:AZ77"/>
  </mergeCells>
  <printOptions/>
  <pageMargins left="0" right="0" top="0" bottom="0" header="0.3145833333333333" footer="0.3145833333333333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F32"/>
  <sheetViews>
    <sheetView workbookViewId="0" topLeftCell="B1">
      <selection activeCell="E36" sqref="E36"/>
    </sheetView>
  </sheetViews>
  <sheetFormatPr defaultColWidth="8.875" defaultRowHeight="13.5"/>
  <cols>
    <col min="1" max="1" width="4.375" style="302" customWidth="1"/>
    <col min="2" max="3" width="9.625" style="302" customWidth="1"/>
    <col min="4" max="4" width="32.875" style="302" customWidth="1"/>
    <col min="5" max="5" width="33.75390625" style="302" customWidth="1"/>
    <col min="6" max="6" width="34.75390625" style="302" customWidth="1"/>
    <col min="7" max="7" width="7.125" style="302" customWidth="1"/>
    <col min="8" max="16384" width="8.875" style="302" customWidth="1"/>
  </cols>
  <sheetData>
    <row r="2" spans="2:6" ht="14.25">
      <c r="B2" s="299"/>
      <c r="C2" s="300"/>
      <c r="D2" s="301"/>
      <c r="E2" s="300"/>
      <c r="F2" s="301"/>
    </row>
    <row r="3" spans="2:4" ht="18" customHeight="1">
      <c r="B3" s="303" t="s">
        <v>1763</v>
      </c>
      <c r="C3" s="303"/>
      <c r="D3" s="303"/>
    </row>
    <row r="4" ht="14.25" thickBot="1"/>
    <row r="5" spans="2:6" ht="23.25" customHeight="1" thickBot="1">
      <c r="B5" s="304"/>
      <c r="C5" s="305"/>
      <c r="D5" s="305" t="s">
        <v>1764</v>
      </c>
      <c r="E5" s="305" t="s">
        <v>1765</v>
      </c>
      <c r="F5" s="306" t="s">
        <v>1766</v>
      </c>
    </row>
    <row r="6" spans="2:6" ht="23.25" customHeight="1" thickTop="1">
      <c r="B6" s="307" t="s">
        <v>1767</v>
      </c>
      <c r="C6" s="308" t="s">
        <v>1768</v>
      </c>
      <c r="D6" s="309" t="s">
        <v>1741</v>
      </c>
      <c r="E6" s="309" t="s">
        <v>1742</v>
      </c>
      <c r="F6" s="310" t="s">
        <v>1743</v>
      </c>
    </row>
    <row r="7" spans="2:6" ht="23.25" customHeight="1">
      <c r="B7" s="307" t="s">
        <v>1744</v>
      </c>
      <c r="C7" s="308" t="s">
        <v>1769</v>
      </c>
      <c r="D7" s="309" t="s">
        <v>1745</v>
      </c>
      <c r="E7" s="309" t="s">
        <v>1746</v>
      </c>
      <c r="F7" s="310" t="s">
        <v>1747</v>
      </c>
    </row>
    <row r="8" spans="2:6" ht="23.25" customHeight="1" thickBot="1">
      <c r="B8" s="311"/>
      <c r="C8" s="312" t="s">
        <v>1770</v>
      </c>
      <c r="D8" s="313" t="s">
        <v>1748</v>
      </c>
      <c r="E8" s="313" t="s">
        <v>1749</v>
      </c>
      <c r="F8" s="314" t="s">
        <v>1750</v>
      </c>
    </row>
    <row r="9" spans="2:6" ht="23.25" customHeight="1">
      <c r="B9" s="307" t="s">
        <v>1771</v>
      </c>
      <c r="C9" s="308" t="s">
        <v>1768</v>
      </c>
      <c r="D9" s="309" t="s">
        <v>1751</v>
      </c>
      <c r="E9" s="309" t="s">
        <v>1752</v>
      </c>
      <c r="F9" s="310" t="s">
        <v>1753</v>
      </c>
    </row>
    <row r="10" spans="2:6" ht="23.25" customHeight="1">
      <c r="B10" s="307" t="s">
        <v>1754</v>
      </c>
      <c r="C10" s="308" t="s">
        <v>1769</v>
      </c>
      <c r="D10" s="309" t="s">
        <v>1755</v>
      </c>
      <c r="E10" s="309" t="s">
        <v>1756</v>
      </c>
      <c r="F10" s="310" t="s">
        <v>1757</v>
      </c>
    </row>
    <row r="11" spans="2:6" ht="23.25" customHeight="1" thickBot="1">
      <c r="B11" s="311"/>
      <c r="C11" s="312" t="s">
        <v>1770</v>
      </c>
      <c r="D11" s="313" t="s">
        <v>1758</v>
      </c>
      <c r="E11" s="313" t="s">
        <v>1759</v>
      </c>
      <c r="F11" s="314" t="s">
        <v>1760</v>
      </c>
    </row>
    <row r="12" spans="2:6" ht="23.25" customHeight="1">
      <c r="B12" s="307" t="s">
        <v>1772</v>
      </c>
      <c r="C12" s="308" t="s">
        <v>1768</v>
      </c>
      <c r="D12" s="309" t="s">
        <v>1752</v>
      </c>
      <c r="E12" s="309" t="s">
        <v>1773</v>
      </c>
      <c r="F12" s="310" t="s">
        <v>1774</v>
      </c>
    </row>
    <row r="13" spans="2:6" ht="23.25" customHeight="1">
      <c r="B13" s="307" t="s">
        <v>1761</v>
      </c>
      <c r="C13" s="308" t="s">
        <v>1769</v>
      </c>
      <c r="D13" s="309" t="s">
        <v>1775</v>
      </c>
      <c r="E13" s="309" t="s">
        <v>1776</v>
      </c>
      <c r="F13" s="310" t="s">
        <v>1777</v>
      </c>
    </row>
    <row r="14" spans="2:6" ht="23.25" customHeight="1" thickBot="1">
      <c r="B14" s="311"/>
      <c r="C14" s="312" t="s">
        <v>1770</v>
      </c>
      <c r="D14" s="313" t="s">
        <v>1762</v>
      </c>
      <c r="E14" s="313" t="s">
        <v>1778</v>
      </c>
      <c r="F14" s="314" t="s">
        <v>1779</v>
      </c>
    </row>
    <row r="15" spans="2:6" ht="23.25" customHeight="1">
      <c r="B15" s="307" t="s">
        <v>1780</v>
      </c>
      <c r="C15" s="308" t="s">
        <v>1768</v>
      </c>
      <c r="D15" s="309" t="s">
        <v>1781</v>
      </c>
      <c r="E15" s="309" t="s">
        <v>1782</v>
      </c>
      <c r="F15" s="310" t="s">
        <v>1783</v>
      </c>
    </row>
    <row r="16" spans="2:6" ht="23.25" customHeight="1">
      <c r="B16" s="307" t="s">
        <v>1784</v>
      </c>
      <c r="C16" s="308" t="s">
        <v>1769</v>
      </c>
      <c r="D16" s="309" t="s">
        <v>1785</v>
      </c>
      <c r="E16" s="309" t="s">
        <v>1786</v>
      </c>
      <c r="F16" s="310"/>
    </row>
    <row r="17" spans="2:6" ht="23.25" customHeight="1" thickBot="1">
      <c r="B17" s="311"/>
      <c r="C17" s="312" t="s">
        <v>1770</v>
      </c>
      <c r="D17" s="313" t="s">
        <v>1787</v>
      </c>
      <c r="E17" s="313" t="s">
        <v>1788</v>
      </c>
      <c r="F17" s="314"/>
    </row>
    <row r="18" spans="2:6" ht="23.25" customHeight="1" thickBot="1">
      <c r="B18" s="307" t="s">
        <v>1789</v>
      </c>
      <c r="C18" s="308" t="s">
        <v>1768</v>
      </c>
      <c r="D18" s="315" t="s">
        <v>1790</v>
      </c>
      <c r="E18" s="316" t="s">
        <v>1791</v>
      </c>
      <c r="F18" s="317" t="s">
        <v>1792</v>
      </c>
    </row>
    <row r="19" spans="2:6" ht="23.25" customHeight="1">
      <c r="B19" s="307" t="s">
        <v>1793</v>
      </c>
      <c r="C19" s="308" t="s">
        <v>1769</v>
      </c>
      <c r="D19" s="309" t="s">
        <v>1794</v>
      </c>
      <c r="E19" s="309" t="s">
        <v>1795</v>
      </c>
      <c r="F19" s="310"/>
    </row>
    <row r="20" spans="2:6" ht="23.25" customHeight="1" thickBot="1">
      <c r="B20" s="311"/>
      <c r="C20" s="312" t="s">
        <v>1770</v>
      </c>
      <c r="D20" s="313" t="s">
        <v>1796</v>
      </c>
      <c r="E20" s="313" t="s">
        <v>1796</v>
      </c>
      <c r="F20" s="314"/>
    </row>
    <row r="21" spans="2:6" ht="23.25" customHeight="1">
      <c r="B21" s="307" t="s">
        <v>1797</v>
      </c>
      <c r="C21" s="308" t="s">
        <v>1768</v>
      </c>
      <c r="D21" s="309" t="s">
        <v>1798</v>
      </c>
      <c r="E21" s="318" t="s">
        <v>1799</v>
      </c>
      <c r="F21" s="319" t="s">
        <v>1800</v>
      </c>
    </row>
    <row r="22" spans="2:6" ht="23.25" customHeight="1">
      <c r="B22" s="307" t="s">
        <v>1801</v>
      </c>
      <c r="C22" s="308" t="s">
        <v>1769</v>
      </c>
      <c r="D22" s="320" t="s">
        <v>1802</v>
      </c>
      <c r="E22" s="321" t="s">
        <v>1803</v>
      </c>
      <c r="F22" s="310"/>
    </row>
    <row r="23" spans="2:6" ht="23.25" customHeight="1" thickBot="1">
      <c r="B23" s="322"/>
      <c r="C23" s="323" t="s">
        <v>1770</v>
      </c>
      <c r="D23" s="324"/>
      <c r="E23" s="324"/>
      <c r="F23" s="325"/>
    </row>
    <row r="24" spans="2:6" ht="23.25" customHeight="1">
      <c r="B24" s="307" t="s">
        <v>1804</v>
      </c>
      <c r="C24" s="308" t="s">
        <v>1768</v>
      </c>
      <c r="D24" s="315" t="s">
        <v>1805</v>
      </c>
      <c r="E24" s="318" t="s">
        <v>1806</v>
      </c>
      <c r="F24" s="319" t="s">
        <v>1807</v>
      </c>
    </row>
    <row r="25" spans="2:6" ht="23.25" customHeight="1">
      <c r="B25" s="307" t="s">
        <v>1808</v>
      </c>
      <c r="C25" s="308" t="s">
        <v>1769</v>
      </c>
      <c r="D25" s="326" t="s">
        <v>1809</v>
      </c>
      <c r="E25" s="321" t="s">
        <v>1810</v>
      </c>
      <c r="F25" s="310"/>
    </row>
    <row r="26" spans="2:6" ht="23.25" customHeight="1" thickBot="1">
      <c r="B26" s="322"/>
      <c r="C26" s="323" t="s">
        <v>1770</v>
      </c>
      <c r="D26" s="327" t="s">
        <v>1811</v>
      </c>
      <c r="E26" s="324"/>
      <c r="F26" s="325"/>
    </row>
    <row r="27" spans="2:6" ht="23.25" customHeight="1">
      <c r="B27" s="307" t="s">
        <v>1812</v>
      </c>
      <c r="C27" s="308" t="s">
        <v>1768</v>
      </c>
      <c r="D27" s="315" t="s">
        <v>1813</v>
      </c>
      <c r="E27" s="396" t="s">
        <v>1807</v>
      </c>
      <c r="F27" s="396" t="s">
        <v>1814</v>
      </c>
    </row>
    <row r="28" spans="2:6" ht="23.25" customHeight="1">
      <c r="B28" s="307" t="s">
        <v>1815</v>
      </c>
      <c r="C28" s="308" t="s">
        <v>1769</v>
      </c>
      <c r="D28" s="321" t="s">
        <v>1816</v>
      </c>
      <c r="E28" s="321" t="s">
        <v>1817</v>
      </c>
      <c r="F28" s="397"/>
    </row>
    <row r="29" spans="2:6" ht="23.25" customHeight="1" thickBot="1">
      <c r="B29" s="322"/>
      <c r="C29" s="323" t="s">
        <v>1818</v>
      </c>
      <c r="D29" s="327" t="s">
        <v>1819</v>
      </c>
      <c r="E29" s="327" t="s">
        <v>1820</v>
      </c>
      <c r="F29" s="398"/>
    </row>
    <row r="30" spans="2:6" ht="23.25" customHeight="1">
      <c r="B30" s="307" t="s">
        <v>1821</v>
      </c>
      <c r="C30" s="308" t="s">
        <v>1768</v>
      </c>
      <c r="D30" s="328" t="s">
        <v>1</v>
      </c>
      <c r="E30" s="329" t="s">
        <v>2</v>
      </c>
      <c r="F30" s="329" t="s">
        <v>3</v>
      </c>
    </row>
    <row r="31" spans="2:6" ht="23.25" customHeight="1">
      <c r="B31" s="307" t="s">
        <v>1822</v>
      </c>
      <c r="C31" s="308" t="s">
        <v>1769</v>
      </c>
      <c r="D31" s="330" t="s">
        <v>1837</v>
      </c>
      <c r="E31" s="330"/>
      <c r="F31" s="331"/>
    </row>
    <row r="32" spans="2:6" ht="23.25" customHeight="1" thickBot="1">
      <c r="B32" s="322"/>
      <c r="C32" s="323" t="s">
        <v>1818</v>
      </c>
      <c r="D32" s="332" t="s">
        <v>1838</v>
      </c>
      <c r="E32" s="332"/>
      <c r="F32" s="333"/>
    </row>
  </sheetData>
  <sheetProtection/>
  <printOptions/>
  <pageMargins left="0.79" right="0.79" top="0.98" bottom="0.98" header="0.51" footer="0.51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1"/>
  <sheetViews>
    <sheetView zoomScaleSheetLayoutView="100" workbookViewId="0" topLeftCell="A607">
      <selection activeCell="N607" sqref="C1:N16384"/>
    </sheetView>
  </sheetViews>
  <sheetFormatPr defaultColWidth="9.00390625" defaultRowHeight="13.5" customHeight="1"/>
  <cols>
    <col min="1" max="1" width="8.00390625" style="107" customWidth="1"/>
    <col min="2" max="2" width="6.75390625" style="107" customWidth="1"/>
    <col min="3" max="9" width="0.74609375" style="107" hidden="1" customWidth="1"/>
    <col min="10" max="11" width="0.74609375" style="118" hidden="1" customWidth="1"/>
    <col min="12" max="14" width="0.74609375" style="107" hidden="1" customWidth="1"/>
    <col min="15" max="16384" width="16.125" style="107" customWidth="1"/>
  </cols>
  <sheetData>
    <row r="1" spans="2:12" ht="13.5">
      <c r="B1" s="661" t="s">
        <v>1589</v>
      </c>
      <c r="C1" s="661"/>
      <c r="D1" s="675" t="s">
        <v>1590</v>
      </c>
      <c r="E1" s="675"/>
      <c r="F1" s="675"/>
      <c r="G1" s="675"/>
      <c r="H1" s="107" t="s">
        <v>784</v>
      </c>
      <c r="I1" s="658" t="s">
        <v>785</v>
      </c>
      <c r="J1" s="658"/>
      <c r="K1" s="658"/>
      <c r="L1" s="109"/>
    </row>
    <row r="2" spans="2:12" ht="13.5">
      <c r="B2" s="661"/>
      <c r="C2" s="661"/>
      <c r="D2" s="675"/>
      <c r="E2" s="675"/>
      <c r="F2" s="675"/>
      <c r="G2" s="675"/>
      <c r="H2" s="141">
        <f>COUNTIF($M$12:$M$23,"東近江市")</f>
        <v>0</v>
      </c>
      <c r="I2" s="664">
        <f>(H2/RIGHT(F35,2))</f>
        <v>0</v>
      </c>
      <c r="J2" s="664"/>
      <c r="K2" s="664"/>
      <c r="L2" s="109"/>
    </row>
    <row r="3" spans="2:12" ht="13.5">
      <c r="B3" s="108" t="s">
        <v>1591</v>
      </c>
      <c r="C3" s="108"/>
      <c r="D3" s="155" t="s">
        <v>590</v>
      </c>
      <c r="F3" s="109">
        <f>A3</f>
        <v>0</v>
      </c>
      <c r="K3" s="119">
        <f>IF(J3="","",(2012-J3))</f>
      </c>
      <c r="L3" s="109"/>
    </row>
    <row r="4" spans="2:12" ht="13.5">
      <c r="B4" s="654" t="s">
        <v>1592</v>
      </c>
      <c r="C4" s="654"/>
      <c r="D4" s="107" t="s">
        <v>592</v>
      </c>
      <c r="F4" s="109">
        <f>A4</f>
        <v>0</v>
      </c>
      <c r="K4" s="119">
        <f>IF(J4="","",(2012-J4))</f>
      </c>
      <c r="L4" s="109"/>
    </row>
    <row r="5" spans="1:13" ht="13.5">
      <c r="A5" s="107" t="s">
        <v>1593</v>
      </c>
      <c r="B5" s="108" t="s">
        <v>1594</v>
      </c>
      <c r="C5" s="108" t="s">
        <v>1595</v>
      </c>
      <c r="D5" s="107" t="str">
        <f>$B$3</f>
        <v>アビック</v>
      </c>
      <c r="F5" s="109" t="str">
        <f>A5</f>
        <v>A01</v>
      </c>
      <c r="G5" s="107" t="str">
        <f>B5&amp;C5</f>
        <v>水野圭補</v>
      </c>
      <c r="H5" s="111" t="str">
        <f>$B$4</f>
        <v>アビックＢＢ</v>
      </c>
      <c r="I5" s="111" t="s">
        <v>1214</v>
      </c>
      <c r="J5" s="121">
        <v>1973</v>
      </c>
      <c r="K5" s="119">
        <f aca="true" t="shared" si="0" ref="K5:K18">IF(J5="","",(2017-J5))</f>
        <v>44</v>
      </c>
      <c r="L5" s="109" t="str">
        <f aca="true" t="shared" si="1" ref="L5:L18">IF(G5="","",IF(COUNTIF($G$6:$G$609,G5)&gt;1,"2重登録","OK"))</f>
        <v>OK</v>
      </c>
      <c r="M5" s="108" t="s">
        <v>827</v>
      </c>
    </row>
    <row r="6" spans="1:13" ht="13.5">
      <c r="A6" s="107" t="s">
        <v>1596</v>
      </c>
      <c r="B6" s="107" t="s">
        <v>492</v>
      </c>
      <c r="C6" s="107" t="s">
        <v>1597</v>
      </c>
      <c r="D6" s="107" t="str">
        <f aca="true" t="shared" si="2" ref="D6:D18">$B$3</f>
        <v>アビック</v>
      </c>
      <c r="F6" s="107" t="str">
        <f>A6</f>
        <v>A02</v>
      </c>
      <c r="G6" s="107" t="str">
        <f>B6&amp;C6</f>
        <v>青木重之</v>
      </c>
      <c r="H6" s="111" t="str">
        <f aca="true" t="shared" si="3" ref="H6:H18">$B$4</f>
        <v>アビックＢＢ</v>
      </c>
      <c r="I6" s="111" t="s">
        <v>1214</v>
      </c>
      <c r="J6" s="118">
        <v>1971</v>
      </c>
      <c r="K6" s="119">
        <f t="shared" si="0"/>
        <v>46</v>
      </c>
      <c r="L6" s="109" t="str">
        <f t="shared" si="1"/>
        <v>OK</v>
      </c>
      <c r="M6" s="108" t="s">
        <v>823</v>
      </c>
    </row>
    <row r="7" spans="1:13" ht="13.5">
      <c r="A7" s="107" t="s">
        <v>1598</v>
      </c>
      <c r="B7" s="108" t="s">
        <v>1599</v>
      </c>
      <c r="C7" s="108" t="s">
        <v>1600</v>
      </c>
      <c r="D7" s="107" t="str">
        <f t="shared" si="2"/>
        <v>アビック</v>
      </c>
      <c r="F7" s="109" t="str">
        <f>A7</f>
        <v>A03</v>
      </c>
      <c r="G7" s="107" t="str">
        <f>B7&amp;C7</f>
        <v>乾勝彦</v>
      </c>
      <c r="H7" s="111" t="str">
        <f t="shared" si="3"/>
        <v>アビックＢＢ</v>
      </c>
      <c r="I7" s="111" t="s">
        <v>1214</v>
      </c>
      <c r="J7" s="121">
        <v>1970</v>
      </c>
      <c r="K7" s="119">
        <f t="shared" si="0"/>
        <v>47</v>
      </c>
      <c r="L7" s="109" t="str">
        <f t="shared" si="1"/>
        <v>OK</v>
      </c>
      <c r="M7" s="108" t="s">
        <v>824</v>
      </c>
    </row>
    <row r="8" spans="1:13" ht="13.5">
      <c r="A8" s="107" t="s">
        <v>1601</v>
      </c>
      <c r="B8" s="108" t="s">
        <v>1307</v>
      </c>
      <c r="C8" s="108" t="s">
        <v>1602</v>
      </c>
      <c r="D8" s="107" t="str">
        <f t="shared" si="2"/>
        <v>アビック</v>
      </c>
      <c r="F8" s="109" t="str">
        <f aca="true" t="shared" si="4" ref="F8:F18">A8</f>
        <v>A04</v>
      </c>
      <c r="G8" s="107" t="str">
        <f aca="true" t="shared" si="5" ref="G8:G18">B8&amp;C8</f>
        <v>佐藤政之</v>
      </c>
      <c r="H8" s="111" t="str">
        <f t="shared" si="3"/>
        <v>アビックＢＢ</v>
      </c>
      <c r="I8" s="111" t="s">
        <v>1214</v>
      </c>
      <c r="J8" s="121">
        <v>1972</v>
      </c>
      <c r="K8" s="119">
        <f t="shared" si="0"/>
        <v>45</v>
      </c>
      <c r="L8" s="109" t="str">
        <f t="shared" si="1"/>
        <v>OK</v>
      </c>
      <c r="M8" s="108" t="s">
        <v>824</v>
      </c>
    </row>
    <row r="9" spans="1:13" ht="13.5">
      <c r="A9" s="107" t="s">
        <v>1603</v>
      </c>
      <c r="B9" s="108" t="s">
        <v>1251</v>
      </c>
      <c r="C9" s="108" t="s">
        <v>1604</v>
      </c>
      <c r="D9" s="107" t="str">
        <f t="shared" si="2"/>
        <v>アビック</v>
      </c>
      <c r="F9" s="109" t="str">
        <f t="shared" si="4"/>
        <v>A05</v>
      </c>
      <c r="G9" s="107" t="str">
        <f t="shared" si="5"/>
        <v>中村亨</v>
      </c>
      <c r="H9" s="111" t="str">
        <f t="shared" si="3"/>
        <v>アビックＢＢ</v>
      </c>
      <c r="I9" s="111" t="s">
        <v>1214</v>
      </c>
      <c r="J9" s="121">
        <v>1969</v>
      </c>
      <c r="K9" s="119">
        <f t="shared" si="0"/>
        <v>48</v>
      </c>
      <c r="L9" s="109" t="str">
        <f t="shared" si="1"/>
        <v>OK</v>
      </c>
      <c r="M9" s="108" t="s">
        <v>824</v>
      </c>
    </row>
    <row r="10" spans="1:13" ht="13.5">
      <c r="A10" s="107" t="s">
        <v>1605</v>
      </c>
      <c r="B10" s="108" t="s">
        <v>1606</v>
      </c>
      <c r="C10" s="108" t="s">
        <v>1607</v>
      </c>
      <c r="D10" s="107" t="str">
        <f t="shared" si="2"/>
        <v>アビック</v>
      </c>
      <c r="F10" s="109" t="str">
        <f t="shared" si="4"/>
        <v>A06</v>
      </c>
      <c r="G10" s="107" t="str">
        <f t="shared" si="5"/>
        <v>谷崎真也</v>
      </c>
      <c r="H10" s="111" t="str">
        <f t="shared" si="3"/>
        <v>アビックＢＢ</v>
      </c>
      <c r="I10" s="111" t="s">
        <v>1214</v>
      </c>
      <c r="J10" s="121">
        <v>1972</v>
      </c>
      <c r="K10" s="119">
        <f t="shared" si="0"/>
        <v>45</v>
      </c>
      <c r="L10" s="109" t="str">
        <f t="shared" si="1"/>
        <v>OK</v>
      </c>
      <c r="M10" s="108" t="s">
        <v>1608</v>
      </c>
    </row>
    <row r="11" spans="1:13" ht="13.5">
      <c r="A11" s="107" t="s">
        <v>1609</v>
      </c>
      <c r="B11" s="108" t="s">
        <v>1610</v>
      </c>
      <c r="C11" s="108" t="s">
        <v>1611</v>
      </c>
      <c r="D11" s="107" t="str">
        <f t="shared" si="2"/>
        <v>アビック</v>
      </c>
      <c r="F11" s="109" t="str">
        <f t="shared" si="4"/>
        <v>A07</v>
      </c>
      <c r="G11" s="107" t="str">
        <f t="shared" si="5"/>
        <v>齋田至</v>
      </c>
      <c r="H11" s="111" t="str">
        <f t="shared" si="3"/>
        <v>アビックＢＢ</v>
      </c>
      <c r="I11" s="111" t="s">
        <v>1214</v>
      </c>
      <c r="J11" s="121">
        <v>1970</v>
      </c>
      <c r="K11" s="119">
        <f t="shared" si="0"/>
        <v>47</v>
      </c>
      <c r="L11" s="109" t="str">
        <f t="shared" si="1"/>
        <v>OK</v>
      </c>
      <c r="M11" s="108" t="s">
        <v>827</v>
      </c>
    </row>
    <row r="12" spans="1:13" ht="13.5">
      <c r="A12" s="107" t="s">
        <v>1612</v>
      </c>
      <c r="B12" s="113" t="s">
        <v>1610</v>
      </c>
      <c r="C12" s="113" t="s">
        <v>656</v>
      </c>
      <c r="D12" s="107" t="str">
        <f t="shared" si="2"/>
        <v>アビック</v>
      </c>
      <c r="F12" s="109" t="str">
        <f t="shared" si="4"/>
        <v>A08</v>
      </c>
      <c r="G12" s="107" t="str">
        <f t="shared" si="5"/>
        <v>齋田優子</v>
      </c>
      <c r="H12" s="111" t="str">
        <f t="shared" si="3"/>
        <v>アビックＢＢ</v>
      </c>
      <c r="I12" s="114" t="s">
        <v>1409</v>
      </c>
      <c r="J12" s="121">
        <v>1970</v>
      </c>
      <c r="K12" s="119">
        <f t="shared" si="0"/>
        <v>47</v>
      </c>
      <c r="L12" s="109" t="str">
        <f t="shared" si="1"/>
        <v>OK</v>
      </c>
      <c r="M12" s="108" t="s">
        <v>827</v>
      </c>
    </row>
    <row r="13" spans="1:13" ht="13.5">
      <c r="A13" s="107" t="s">
        <v>1613</v>
      </c>
      <c r="B13" s="108" t="s">
        <v>1614</v>
      </c>
      <c r="C13" s="108" t="s">
        <v>1615</v>
      </c>
      <c r="D13" s="107" t="str">
        <f t="shared" si="2"/>
        <v>アビック</v>
      </c>
      <c r="F13" s="109" t="str">
        <f t="shared" si="4"/>
        <v>A09</v>
      </c>
      <c r="G13" s="107" t="str">
        <f t="shared" si="5"/>
        <v>平居崇</v>
      </c>
      <c r="H13" s="111" t="str">
        <f t="shared" si="3"/>
        <v>アビックＢＢ</v>
      </c>
      <c r="I13" s="111" t="s">
        <v>1214</v>
      </c>
      <c r="J13" s="121">
        <v>1972</v>
      </c>
      <c r="K13" s="119">
        <f t="shared" si="0"/>
        <v>45</v>
      </c>
      <c r="L13" s="109" t="str">
        <f t="shared" si="1"/>
        <v>OK</v>
      </c>
      <c r="M13" s="108" t="s">
        <v>1616</v>
      </c>
    </row>
    <row r="14" spans="1:13" ht="13.5">
      <c r="A14" s="107" t="s">
        <v>1617</v>
      </c>
      <c r="B14" s="108" t="s">
        <v>1618</v>
      </c>
      <c r="C14" s="108" t="s">
        <v>1619</v>
      </c>
      <c r="D14" s="107" t="str">
        <f t="shared" si="2"/>
        <v>アビック</v>
      </c>
      <c r="F14" s="109" t="str">
        <f t="shared" si="4"/>
        <v>A10</v>
      </c>
      <c r="G14" s="107" t="str">
        <f t="shared" si="5"/>
        <v>土居悟</v>
      </c>
      <c r="H14" s="111" t="str">
        <f t="shared" si="3"/>
        <v>アビックＢＢ</v>
      </c>
      <c r="I14" s="111" t="s">
        <v>1214</v>
      </c>
      <c r="J14" s="121">
        <v>1969</v>
      </c>
      <c r="K14" s="119">
        <f t="shared" si="0"/>
        <v>48</v>
      </c>
      <c r="L14" s="109" t="str">
        <f t="shared" si="1"/>
        <v>OK</v>
      </c>
      <c r="M14" s="108" t="s">
        <v>795</v>
      </c>
    </row>
    <row r="15" spans="1:13" ht="13.5">
      <c r="A15" s="107" t="s">
        <v>1620</v>
      </c>
      <c r="B15" s="108" t="s">
        <v>1543</v>
      </c>
      <c r="C15" s="108" t="s">
        <v>1621</v>
      </c>
      <c r="D15" s="107" t="str">
        <f t="shared" si="2"/>
        <v>アビック</v>
      </c>
      <c r="F15" s="109" t="str">
        <f t="shared" si="4"/>
        <v>A11</v>
      </c>
      <c r="G15" s="107" t="str">
        <f t="shared" si="5"/>
        <v>宮村ナオキ</v>
      </c>
      <c r="H15" s="111" t="str">
        <f t="shared" si="3"/>
        <v>アビックＢＢ</v>
      </c>
      <c r="I15" s="111" t="s">
        <v>1214</v>
      </c>
      <c r="J15" s="121">
        <v>1996</v>
      </c>
      <c r="K15" s="119">
        <f t="shared" si="0"/>
        <v>21</v>
      </c>
      <c r="L15" s="109" t="str">
        <f t="shared" si="1"/>
        <v>OK</v>
      </c>
      <c r="M15" s="108" t="s">
        <v>827</v>
      </c>
    </row>
    <row r="16" spans="1:13" ht="13.5">
      <c r="A16" s="107" t="s">
        <v>1622</v>
      </c>
      <c r="B16" s="113" t="s">
        <v>1623</v>
      </c>
      <c r="C16" s="113" t="s">
        <v>1624</v>
      </c>
      <c r="D16" s="107" t="str">
        <f t="shared" si="2"/>
        <v>アビック</v>
      </c>
      <c r="F16" s="109" t="str">
        <f t="shared" si="4"/>
        <v>A12</v>
      </c>
      <c r="G16" s="107" t="str">
        <f t="shared" si="5"/>
        <v>西山抄千代</v>
      </c>
      <c r="H16" s="111" t="str">
        <f t="shared" si="3"/>
        <v>アビックＢＢ</v>
      </c>
      <c r="I16" s="114" t="s">
        <v>1409</v>
      </c>
      <c r="J16" s="121">
        <v>1972</v>
      </c>
      <c r="K16" s="119">
        <f t="shared" si="0"/>
        <v>45</v>
      </c>
      <c r="L16" s="109" t="str">
        <f t="shared" si="1"/>
        <v>OK</v>
      </c>
      <c r="M16" s="108" t="s">
        <v>1319</v>
      </c>
    </row>
    <row r="17" spans="1:13" ht="13.5">
      <c r="A17" s="107" t="s">
        <v>1625</v>
      </c>
      <c r="B17" s="113" t="s">
        <v>1626</v>
      </c>
      <c r="C17" s="113" t="s">
        <v>1627</v>
      </c>
      <c r="D17" s="107" t="str">
        <f t="shared" si="2"/>
        <v>アビック</v>
      </c>
      <c r="F17" s="109" t="str">
        <f t="shared" si="4"/>
        <v>A13</v>
      </c>
      <c r="G17" s="107" t="str">
        <f t="shared" si="5"/>
        <v>三原啓子</v>
      </c>
      <c r="H17" s="111" t="str">
        <f t="shared" si="3"/>
        <v>アビックＢＢ</v>
      </c>
      <c r="I17" s="114" t="s">
        <v>1409</v>
      </c>
      <c r="J17" s="121">
        <v>1964</v>
      </c>
      <c r="K17" s="119">
        <f t="shared" si="0"/>
        <v>53</v>
      </c>
      <c r="L17" s="109" t="str">
        <f t="shared" si="1"/>
        <v>OK</v>
      </c>
      <c r="M17" s="108" t="s">
        <v>827</v>
      </c>
    </row>
    <row r="18" spans="1:13" ht="13.5">
      <c r="A18" s="107" t="s">
        <v>1628</v>
      </c>
      <c r="B18" s="108" t="s">
        <v>1629</v>
      </c>
      <c r="C18" s="108" t="s">
        <v>1630</v>
      </c>
      <c r="D18" s="107" t="str">
        <f t="shared" si="2"/>
        <v>アビック</v>
      </c>
      <c r="F18" s="109" t="str">
        <f t="shared" si="4"/>
        <v>A14</v>
      </c>
      <c r="G18" s="107" t="str">
        <f t="shared" si="5"/>
        <v>落合良弘</v>
      </c>
      <c r="H18" s="111" t="str">
        <f t="shared" si="3"/>
        <v>アビックＢＢ</v>
      </c>
      <c r="I18" s="111" t="s">
        <v>1214</v>
      </c>
      <c r="J18" s="121">
        <v>1968</v>
      </c>
      <c r="K18" s="119">
        <f t="shared" si="0"/>
        <v>49</v>
      </c>
      <c r="L18" s="109" t="str">
        <f t="shared" si="1"/>
        <v>OK</v>
      </c>
      <c r="M18" s="108" t="s">
        <v>1320</v>
      </c>
    </row>
    <row r="24" ht="13.5">
      <c r="L24" s="109">
        <f aca="true" t="shared" si="6" ref="L24:L55">IF(G24="","",IF(COUNTIF($G$24:$G$617,G24)&gt;1,"2重登録","OK"))</f>
      </c>
    </row>
    <row r="25" ht="13.5">
      <c r="L25" s="109">
        <f t="shared" si="6"/>
      </c>
    </row>
    <row r="26" ht="13.5">
      <c r="L26" s="109">
        <f t="shared" si="6"/>
      </c>
    </row>
    <row r="27" spans="2:12" s="170" customFormat="1" ht="13.5">
      <c r="B27" s="674" t="s">
        <v>1481</v>
      </c>
      <c r="C27" s="674"/>
      <c r="D27" s="662" t="s">
        <v>1631</v>
      </c>
      <c r="E27" s="663"/>
      <c r="F27" s="663"/>
      <c r="G27" s="663"/>
      <c r="H27" s="107" t="s">
        <v>784</v>
      </c>
      <c r="I27" s="658" t="s">
        <v>785</v>
      </c>
      <c r="J27" s="658"/>
      <c r="K27" s="658"/>
      <c r="L27" s="109">
        <f t="shared" si="6"/>
      </c>
    </row>
    <row r="28" spans="2:12" s="170" customFormat="1" ht="13.5">
      <c r="B28" s="674"/>
      <c r="C28" s="674"/>
      <c r="D28" s="663"/>
      <c r="E28" s="663"/>
      <c r="F28" s="663"/>
      <c r="G28" s="663"/>
      <c r="H28" s="141">
        <f>COUNTIF(M31:M62,"東近江市")</f>
        <v>0</v>
      </c>
      <c r="L28" s="109">
        <f t="shared" si="6"/>
      </c>
    </row>
    <row r="29" spans="2:12" s="170" customFormat="1" ht="13.5">
      <c r="B29" s="674" t="s">
        <v>1558</v>
      </c>
      <c r="C29" s="674"/>
      <c r="L29" s="109">
        <f t="shared" si="6"/>
      </c>
    </row>
    <row r="30" spans="2:12" s="170" customFormat="1" ht="13.5">
      <c r="B30" s="674" t="s">
        <v>1558</v>
      </c>
      <c r="C30" s="674"/>
      <c r="L30" s="109">
        <f t="shared" si="6"/>
      </c>
    </row>
    <row r="31" spans="1:13" s="170" customFormat="1" ht="13.5">
      <c r="A31" s="170" t="s">
        <v>1632</v>
      </c>
      <c r="B31" s="135" t="s">
        <v>1255</v>
      </c>
      <c r="C31" s="170" t="s">
        <v>1256</v>
      </c>
      <c r="D31" s="170" t="s">
        <v>1559</v>
      </c>
      <c r="F31" s="170" t="str">
        <f>A31</f>
        <v>B01</v>
      </c>
      <c r="G31" s="170" t="str">
        <f>B31&amp;C31</f>
        <v>池端誠治</v>
      </c>
      <c r="H31" s="170" t="s">
        <v>1559</v>
      </c>
      <c r="I31" s="170" t="s">
        <v>791</v>
      </c>
      <c r="J31" s="170">
        <v>1972</v>
      </c>
      <c r="K31" s="119">
        <f>IF(J31="","",(2016-J31))</f>
        <v>44</v>
      </c>
      <c r="L31" s="109" t="str">
        <f t="shared" si="6"/>
        <v>OK</v>
      </c>
      <c r="M31" s="170" t="s">
        <v>827</v>
      </c>
    </row>
    <row r="32" spans="1:17" s="170" customFormat="1" ht="13.5">
      <c r="A32" s="170" t="s">
        <v>1633</v>
      </c>
      <c r="B32" s="170" t="s">
        <v>1257</v>
      </c>
      <c r="C32" s="170" t="s">
        <v>1258</v>
      </c>
      <c r="D32" s="170" t="s">
        <v>1559</v>
      </c>
      <c r="F32" s="170" t="str">
        <f aca="true" t="shared" si="7" ref="F32:F58">A32</f>
        <v>B02</v>
      </c>
      <c r="G32" s="170" t="str">
        <f aca="true" t="shared" si="8" ref="G32:G58">B32&amp;C32</f>
        <v>押谷繁樹</v>
      </c>
      <c r="H32" s="170" t="s">
        <v>1559</v>
      </c>
      <c r="I32" s="170" t="s">
        <v>791</v>
      </c>
      <c r="J32" s="170">
        <v>1981</v>
      </c>
      <c r="K32" s="119">
        <f aca="true" t="shared" si="9" ref="K32:K58">IF(J32="","",(2016-J32))</f>
        <v>35</v>
      </c>
      <c r="L32" s="109" t="str">
        <f t="shared" si="6"/>
        <v>OK</v>
      </c>
      <c r="M32" s="170" t="s">
        <v>1320</v>
      </c>
      <c r="Q32" s="135"/>
    </row>
    <row r="33" spans="1:17" s="170" customFormat="1" ht="13.5">
      <c r="A33" s="170" t="s">
        <v>889</v>
      </c>
      <c r="B33" s="170" t="s">
        <v>1431</v>
      </c>
      <c r="C33" s="170" t="s">
        <v>1259</v>
      </c>
      <c r="D33" s="170" t="s">
        <v>1559</v>
      </c>
      <c r="F33" s="170" t="str">
        <f t="shared" si="7"/>
        <v>B03</v>
      </c>
      <c r="G33" s="170" t="str">
        <f t="shared" si="8"/>
        <v>金谷太郎</v>
      </c>
      <c r="H33" s="170" t="s">
        <v>1559</v>
      </c>
      <c r="I33" s="170" t="s">
        <v>791</v>
      </c>
      <c r="J33" s="170">
        <v>1976</v>
      </c>
      <c r="K33" s="119">
        <f t="shared" si="9"/>
        <v>40</v>
      </c>
      <c r="L33" s="109" t="str">
        <f t="shared" si="6"/>
        <v>OK</v>
      </c>
      <c r="M33" s="170" t="s">
        <v>827</v>
      </c>
      <c r="Q33" s="135"/>
    </row>
    <row r="34" spans="1:17" s="170" customFormat="1" ht="13.5">
      <c r="A34" s="170" t="s">
        <v>890</v>
      </c>
      <c r="B34" s="170" t="s">
        <v>1318</v>
      </c>
      <c r="C34" s="170" t="s">
        <v>1482</v>
      </c>
      <c r="D34" s="170" t="s">
        <v>1634</v>
      </c>
      <c r="F34" s="170" t="str">
        <f t="shared" si="7"/>
        <v>B04</v>
      </c>
      <c r="G34" s="170" t="str">
        <f t="shared" si="8"/>
        <v>佐野 望</v>
      </c>
      <c r="H34" s="170" t="s">
        <v>1634</v>
      </c>
      <c r="I34" s="170" t="s">
        <v>791</v>
      </c>
      <c r="J34" s="170">
        <v>1982</v>
      </c>
      <c r="K34" s="119">
        <f t="shared" si="9"/>
        <v>34</v>
      </c>
      <c r="L34" s="109" t="str">
        <f t="shared" si="6"/>
        <v>OK</v>
      </c>
      <c r="M34" s="170" t="s">
        <v>827</v>
      </c>
      <c r="Q34" s="135"/>
    </row>
    <row r="35" spans="1:13" s="170" customFormat="1" ht="13.5">
      <c r="A35" s="170" t="s">
        <v>891</v>
      </c>
      <c r="B35" s="170" t="s">
        <v>1217</v>
      </c>
      <c r="C35" s="170" t="s">
        <v>1260</v>
      </c>
      <c r="D35" s="170" t="s">
        <v>1634</v>
      </c>
      <c r="F35" s="170" t="str">
        <f t="shared" si="7"/>
        <v>B05</v>
      </c>
      <c r="G35" s="170" t="str">
        <f t="shared" si="8"/>
        <v>谷口友宏</v>
      </c>
      <c r="H35" s="170" t="s">
        <v>1634</v>
      </c>
      <c r="I35" s="170" t="s">
        <v>791</v>
      </c>
      <c r="J35" s="170">
        <v>1980</v>
      </c>
      <c r="K35" s="119">
        <f t="shared" si="9"/>
        <v>36</v>
      </c>
      <c r="L35" s="109" t="str">
        <f t="shared" si="6"/>
        <v>OK</v>
      </c>
      <c r="M35" s="170" t="s">
        <v>827</v>
      </c>
    </row>
    <row r="36" spans="1:13" s="170" customFormat="1" ht="13.5">
      <c r="A36" s="170" t="s">
        <v>892</v>
      </c>
      <c r="B36" s="170" t="s">
        <v>1483</v>
      </c>
      <c r="C36" s="170" t="s">
        <v>1261</v>
      </c>
      <c r="D36" s="170" t="s">
        <v>1634</v>
      </c>
      <c r="F36" s="170" t="str">
        <f t="shared" si="7"/>
        <v>B06</v>
      </c>
      <c r="G36" s="170" t="str">
        <f t="shared" si="8"/>
        <v>辻 義規</v>
      </c>
      <c r="H36" s="170" t="s">
        <v>1634</v>
      </c>
      <c r="I36" s="170" t="s">
        <v>791</v>
      </c>
      <c r="J36" s="170">
        <v>1973</v>
      </c>
      <c r="K36" s="119">
        <f t="shared" si="9"/>
        <v>43</v>
      </c>
      <c r="L36" s="109" t="str">
        <f t="shared" si="6"/>
        <v>OK</v>
      </c>
      <c r="M36" s="170" t="s">
        <v>827</v>
      </c>
    </row>
    <row r="37" spans="1:13" s="170" customFormat="1" ht="13.5">
      <c r="A37" s="170" t="s">
        <v>893</v>
      </c>
      <c r="B37" s="170" t="s">
        <v>798</v>
      </c>
      <c r="C37" s="170" t="s">
        <v>1219</v>
      </c>
      <c r="D37" s="170" t="s">
        <v>1559</v>
      </c>
      <c r="F37" s="170" t="str">
        <f t="shared" si="7"/>
        <v>B07</v>
      </c>
      <c r="G37" s="170" t="str">
        <f t="shared" si="8"/>
        <v>土田哲也</v>
      </c>
      <c r="H37" s="170" t="s">
        <v>1559</v>
      </c>
      <c r="I37" s="170" t="s">
        <v>791</v>
      </c>
      <c r="J37" s="170">
        <v>1990</v>
      </c>
      <c r="K37" s="119">
        <f t="shared" si="9"/>
        <v>26</v>
      </c>
      <c r="L37" s="109" t="str">
        <f t="shared" si="6"/>
        <v>OK</v>
      </c>
      <c r="M37" s="170" t="s">
        <v>1320</v>
      </c>
    </row>
    <row r="38" spans="1:13" s="170" customFormat="1" ht="13.5">
      <c r="A38" s="170" t="s">
        <v>894</v>
      </c>
      <c r="B38" s="170" t="s">
        <v>1262</v>
      </c>
      <c r="C38" s="170" t="s">
        <v>1263</v>
      </c>
      <c r="D38" s="170" t="s">
        <v>1634</v>
      </c>
      <c r="F38" s="170" t="str">
        <f t="shared" si="7"/>
        <v>B08</v>
      </c>
      <c r="G38" s="170" t="str">
        <f t="shared" si="8"/>
        <v>成宮康弘</v>
      </c>
      <c r="H38" s="170" t="s">
        <v>1634</v>
      </c>
      <c r="I38" s="170" t="s">
        <v>791</v>
      </c>
      <c r="J38" s="170">
        <v>1970</v>
      </c>
      <c r="K38" s="119">
        <f t="shared" si="9"/>
        <v>46</v>
      </c>
      <c r="L38" s="109" t="str">
        <f t="shared" si="6"/>
        <v>OK</v>
      </c>
      <c r="M38" s="170" t="s">
        <v>827</v>
      </c>
    </row>
    <row r="39" spans="1:13" s="170" customFormat="1" ht="13.5">
      <c r="A39" s="170" t="s">
        <v>895</v>
      </c>
      <c r="B39" s="170" t="s">
        <v>1264</v>
      </c>
      <c r="C39" s="170" t="s">
        <v>1432</v>
      </c>
      <c r="D39" s="170" t="s">
        <v>1634</v>
      </c>
      <c r="F39" s="170" t="str">
        <f t="shared" si="7"/>
        <v>B09</v>
      </c>
      <c r="G39" s="170" t="str">
        <f t="shared" si="8"/>
        <v>西川昌一</v>
      </c>
      <c r="H39" s="170" t="s">
        <v>1634</v>
      </c>
      <c r="I39" s="170" t="s">
        <v>791</v>
      </c>
      <c r="J39" s="170">
        <v>1970</v>
      </c>
      <c r="K39" s="119">
        <f t="shared" si="9"/>
        <v>46</v>
      </c>
      <c r="L39" s="109" t="str">
        <f t="shared" si="6"/>
        <v>OK</v>
      </c>
      <c r="M39" s="170" t="s">
        <v>1407</v>
      </c>
    </row>
    <row r="40" spans="1:13" s="170" customFormat="1" ht="13.5">
      <c r="A40" s="170" t="s">
        <v>896</v>
      </c>
      <c r="B40" s="170" t="s">
        <v>1408</v>
      </c>
      <c r="C40" s="170" t="s">
        <v>1484</v>
      </c>
      <c r="D40" s="170" t="s">
        <v>1634</v>
      </c>
      <c r="F40" s="170" t="str">
        <f t="shared" si="7"/>
        <v>B10</v>
      </c>
      <c r="G40" s="170" t="str">
        <f t="shared" si="8"/>
        <v>平塚 聡</v>
      </c>
      <c r="H40" s="170" t="s">
        <v>1634</v>
      </c>
      <c r="I40" s="170" t="s">
        <v>791</v>
      </c>
      <c r="J40" s="170">
        <v>1960</v>
      </c>
      <c r="K40" s="119">
        <f t="shared" si="9"/>
        <v>56</v>
      </c>
      <c r="L40" s="109" t="str">
        <f t="shared" si="6"/>
        <v>OK</v>
      </c>
      <c r="M40" s="170" t="s">
        <v>827</v>
      </c>
    </row>
    <row r="41" spans="1:13" s="170" customFormat="1" ht="13.5">
      <c r="A41" s="170" t="s">
        <v>897</v>
      </c>
      <c r="B41" s="170" t="s">
        <v>1408</v>
      </c>
      <c r="C41" s="170" t="s">
        <v>1475</v>
      </c>
      <c r="D41" s="170" t="s">
        <v>1560</v>
      </c>
      <c r="E41" s="170" t="s">
        <v>1635</v>
      </c>
      <c r="F41" s="170" t="str">
        <f t="shared" si="7"/>
        <v>B11</v>
      </c>
      <c r="G41" s="170" t="str">
        <f t="shared" si="8"/>
        <v>平塚好真</v>
      </c>
      <c r="H41" s="170" t="s">
        <v>1560</v>
      </c>
      <c r="I41" s="170" t="s">
        <v>791</v>
      </c>
      <c r="J41" s="170">
        <v>2004</v>
      </c>
      <c r="K41" s="119">
        <f t="shared" si="9"/>
        <v>12</v>
      </c>
      <c r="L41" s="109" t="str">
        <f t="shared" si="6"/>
        <v>OK</v>
      </c>
      <c r="M41" s="170" t="s">
        <v>827</v>
      </c>
    </row>
    <row r="42" spans="1:17" s="170" customFormat="1" ht="13.5">
      <c r="A42" s="170" t="s">
        <v>898</v>
      </c>
      <c r="B42" s="170" t="s">
        <v>1267</v>
      </c>
      <c r="C42" s="170" t="s">
        <v>1433</v>
      </c>
      <c r="D42" s="170" t="s">
        <v>1559</v>
      </c>
      <c r="F42" s="170" t="str">
        <f t="shared" si="7"/>
        <v>B12</v>
      </c>
      <c r="G42" s="170" t="str">
        <f t="shared" si="8"/>
        <v>古市卓志</v>
      </c>
      <c r="H42" s="170" t="s">
        <v>1559</v>
      </c>
      <c r="I42" s="170" t="s">
        <v>791</v>
      </c>
      <c r="J42" s="170">
        <v>1974</v>
      </c>
      <c r="K42" s="119">
        <f t="shared" si="9"/>
        <v>42</v>
      </c>
      <c r="L42" s="109" t="str">
        <f t="shared" si="6"/>
        <v>OK</v>
      </c>
      <c r="M42" s="170" t="s">
        <v>827</v>
      </c>
      <c r="Q42" s="135"/>
    </row>
    <row r="43" spans="1:17" s="170" customFormat="1" ht="13.5">
      <c r="A43" s="170" t="s">
        <v>899</v>
      </c>
      <c r="B43" s="170" t="s">
        <v>1268</v>
      </c>
      <c r="C43" s="170" t="s">
        <v>1434</v>
      </c>
      <c r="D43" s="170" t="s">
        <v>1634</v>
      </c>
      <c r="F43" s="170" t="str">
        <f t="shared" si="7"/>
        <v>B13</v>
      </c>
      <c r="G43" s="170" t="str">
        <f t="shared" si="8"/>
        <v>村上知孝</v>
      </c>
      <c r="H43" s="170" t="s">
        <v>1634</v>
      </c>
      <c r="I43" s="170" t="s">
        <v>791</v>
      </c>
      <c r="J43" s="170">
        <v>1980</v>
      </c>
      <c r="K43" s="119">
        <f t="shared" si="9"/>
        <v>36</v>
      </c>
      <c r="L43" s="109" t="str">
        <f t="shared" si="6"/>
        <v>OK</v>
      </c>
      <c r="M43" s="170" t="s">
        <v>1321</v>
      </c>
      <c r="Q43" s="135"/>
    </row>
    <row r="44" spans="1:17" s="170" customFormat="1" ht="13.5">
      <c r="A44" s="170" t="s">
        <v>900</v>
      </c>
      <c r="B44" s="170" t="s">
        <v>1269</v>
      </c>
      <c r="C44" s="170" t="s">
        <v>1270</v>
      </c>
      <c r="D44" s="170" t="s">
        <v>1559</v>
      </c>
      <c r="F44" s="170" t="str">
        <f t="shared" si="7"/>
        <v>B14</v>
      </c>
      <c r="G44" s="170" t="str">
        <f t="shared" si="8"/>
        <v>八木篤司</v>
      </c>
      <c r="H44" s="170" t="s">
        <v>1559</v>
      </c>
      <c r="I44" s="170" t="s">
        <v>791</v>
      </c>
      <c r="J44" s="170">
        <v>1973</v>
      </c>
      <c r="K44" s="119">
        <f t="shared" si="9"/>
        <v>43</v>
      </c>
      <c r="L44" s="109" t="str">
        <f t="shared" si="6"/>
        <v>OK</v>
      </c>
      <c r="M44" s="170" t="s">
        <v>827</v>
      </c>
      <c r="Q44" s="135"/>
    </row>
    <row r="45" spans="1:17" s="170" customFormat="1" ht="13.5">
      <c r="A45" s="170" t="s">
        <v>901</v>
      </c>
      <c r="B45" s="170" t="s">
        <v>1435</v>
      </c>
      <c r="C45" s="170" t="s">
        <v>1271</v>
      </c>
      <c r="D45" s="170" t="s">
        <v>1559</v>
      </c>
      <c r="F45" s="170" t="str">
        <f t="shared" si="7"/>
        <v>B15</v>
      </c>
      <c r="G45" s="170" t="str">
        <f t="shared" si="8"/>
        <v>山崎正雄</v>
      </c>
      <c r="H45" s="170" t="s">
        <v>1559</v>
      </c>
      <c r="I45" s="170" t="s">
        <v>791</v>
      </c>
      <c r="J45" s="170">
        <v>1982</v>
      </c>
      <c r="K45" s="119">
        <f t="shared" si="9"/>
        <v>34</v>
      </c>
      <c r="L45" s="109" t="str">
        <f t="shared" si="6"/>
        <v>OK</v>
      </c>
      <c r="M45" s="170" t="s">
        <v>1320</v>
      </c>
      <c r="Q45" s="135"/>
    </row>
    <row r="46" spans="1:17" s="170" customFormat="1" ht="13.5">
      <c r="A46" s="170" t="s">
        <v>902</v>
      </c>
      <c r="B46" s="139" t="s">
        <v>1272</v>
      </c>
      <c r="C46" s="139" t="s">
        <v>1273</v>
      </c>
      <c r="D46" s="170" t="s">
        <v>1559</v>
      </c>
      <c r="F46" s="170" t="str">
        <f t="shared" si="7"/>
        <v>B16</v>
      </c>
      <c r="G46" s="170" t="str">
        <f t="shared" si="8"/>
        <v>伊吹邦子</v>
      </c>
      <c r="H46" s="170" t="s">
        <v>1559</v>
      </c>
      <c r="I46" s="139" t="s">
        <v>1409</v>
      </c>
      <c r="J46" s="170">
        <v>1969</v>
      </c>
      <c r="K46" s="119">
        <f t="shared" si="9"/>
        <v>47</v>
      </c>
      <c r="L46" s="109" t="str">
        <f t="shared" si="6"/>
        <v>OK</v>
      </c>
      <c r="M46" s="170" t="s">
        <v>827</v>
      </c>
      <c r="Q46" s="135"/>
    </row>
    <row r="47" spans="1:17" s="170" customFormat="1" ht="13.5">
      <c r="A47" s="170" t="s">
        <v>903</v>
      </c>
      <c r="B47" s="139" t="s">
        <v>1274</v>
      </c>
      <c r="C47" s="139" t="s">
        <v>1275</v>
      </c>
      <c r="D47" s="170" t="s">
        <v>1561</v>
      </c>
      <c r="F47" s="170" t="str">
        <f t="shared" si="7"/>
        <v>B17</v>
      </c>
      <c r="G47" s="170" t="str">
        <f t="shared" si="8"/>
        <v>木村美香</v>
      </c>
      <c r="H47" s="170" t="s">
        <v>1561</v>
      </c>
      <c r="I47" s="139" t="s">
        <v>1409</v>
      </c>
      <c r="J47" s="170">
        <v>1962</v>
      </c>
      <c r="K47" s="119">
        <f t="shared" si="9"/>
        <v>54</v>
      </c>
      <c r="L47" s="109" t="str">
        <f t="shared" si="6"/>
        <v>OK</v>
      </c>
      <c r="M47" s="170" t="s">
        <v>1407</v>
      </c>
      <c r="Q47" s="135"/>
    </row>
    <row r="48" spans="1:17" s="170" customFormat="1" ht="13.5">
      <c r="A48" s="170" t="s">
        <v>905</v>
      </c>
      <c r="B48" s="139" t="s">
        <v>1276</v>
      </c>
      <c r="C48" s="139" t="s">
        <v>1277</v>
      </c>
      <c r="D48" s="170" t="s">
        <v>1559</v>
      </c>
      <c r="F48" s="170" t="str">
        <f t="shared" si="7"/>
        <v>B18</v>
      </c>
      <c r="G48" s="170" t="str">
        <f t="shared" si="8"/>
        <v>近藤直美</v>
      </c>
      <c r="H48" s="170" t="s">
        <v>1559</v>
      </c>
      <c r="I48" s="139" t="s">
        <v>1409</v>
      </c>
      <c r="J48" s="170">
        <v>1963</v>
      </c>
      <c r="K48" s="119">
        <f t="shared" si="9"/>
        <v>53</v>
      </c>
      <c r="L48" s="109" t="str">
        <f t="shared" si="6"/>
        <v>OK</v>
      </c>
      <c r="M48" s="170" t="s">
        <v>827</v>
      </c>
      <c r="Q48" s="135"/>
    </row>
    <row r="49" spans="1:17" s="170" customFormat="1" ht="13.5">
      <c r="A49" s="170" t="s">
        <v>907</v>
      </c>
      <c r="B49" s="139" t="s">
        <v>1278</v>
      </c>
      <c r="C49" s="139" t="s">
        <v>1279</v>
      </c>
      <c r="D49" s="170" t="s">
        <v>1559</v>
      </c>
      <c r="F49" s="170" t="str">
        <f t="shared" si="7"/>
        <v>B19</v>
      </c>
      <c r="G49" s="170" t="str">
        <f t="shared" si="8"/>
        <v>佐竹昌子</v>
      </c>
      <c r="H49" s="170" t="s">
        <v>1559</v>
      </c>
      <c r="I49" s="139" t="s">
        <v>1409</v>
      </c>
      <c r="J49" s="170">
        <v>1958</v>
      </c>
      <c r="K49" s="119">
        <f t="shared" si="9"/>
        <v>58</v>
      </c>
      <c r="L49" s="109" t="str">
        <f t="shared" si="6"/>
        <v>OK</v>
      </c>
      <c r="M49" s="170" t="s">
        <v>827</v>
      </c>
      <c r="Q49" s="135"/>
    </row>
    <row r="50" spans="1:17" s="170" customFormat="1" ht="13.5">
      <c r="A50" s="170" t="s">
        <v>908</v>
      </c>
      <c r="B50" s="139" t="s">
        <v>1248</v>
      </c>
      <c r="C50" s="139" t="s">
        <v>1485</v>
      </c>
      <c r="D50" s="170" t="s">
        <v>1559</v>
      </c>
      <c r="F50" s="170" t="str">
        <f t="shared" si="7"/>
        <v>B20</v>
      </c>
      <c r="G50" s="170" t="str">
        <f t="shared" si="8"/>
        <v>田中 都</v>
      </c>
      <c r="H50" s="170" t="s">
        <v>1559</v>
      </c>
      <c r="I50" s="139" t="s">
        <v>1409</v>
      </c>
      <c r="J50" s="170">
        <v>1970</v>
      </c>
      <c r="K50" s="119">
        <f t="shared" si="9"/>
        <v>46</v>
      </c>
      <c r="L50" s="109" t="str">
        <f t="shared" si="6"/>
        <v>OK</v>
      </c>
      <c r="M50" s="170" t="s">
        <v>1407</v>
      </c>
      <c r="Q50" s="135"/>
    </row>
    <row r="51" spans="1:17" s="170" customFormat="1" ht="13.5">
      <c r="A51" s="170" t="s">
        <v>909</v>
      </c>
      <c r="B51" s="139" t="s">
        <v>1355</v>
      </c>
      <c r="C51" s="139" t="s">
        <v>1436</v>
      </c>
      <c r="D51" s="170" t="s">
        <v>1559</v>
      </c>
      <c r="F51" s="170" t="str">
        <f t="shared" si="7"/>
        <v>B21</v>
      </c>
      <c r="G51" s="170" t="str">
        <f t="shared" si="8"/>
        <v>田端加津子</v>
      </c>
      <c r="H51" s="170" t="s">
        <v>1559</v>
      </c>
      <c r="I51" s="139" t="s">
        <v>1409</v>
      </c>
      <c r="J51" s="170">
        <v>1972</v>
      </c>
      <c r="K51" s="119">
        <f t="shared" si="9"/>
        <v>44</v>
      </c>
      <c r="L51" s="109" t="str">
        <f t="shared" si="6"/>
        <v>OK</v>
      </c>
      <c r="M51" s="170" t="s">
        <v>827</v>
      </c>
      <c r="Q51" s="135"/>
    </row>
    <row r="52" spans="1:17" s="170" customFormat="1" ht="13.5">
      <c r="A52" s="170" t="s">
        <v>910</v>
      </c>
      <c r="B52" s="139" t="s">
        <v>1292</v>
      </c>
      <c r="C52" s="139" t="s">
        <v>1437</v>
      </c>
      <c r="D52" s="170" t="s">
        <v>1559</v>
      </c>
      <c r="F52" s="170" t="str">
        <f t="shared" si="7"/>
        <v>B22</v>
      </c>
      <c r="G52" s="170" t="str">
        <f t="shared" si="8"/>
        <v>筒井珠世</v>
      </c>
      <c r="H52" s="170" t="s">
        <v>1559</v>
      </c>
      <c r="I52" s="139" t="s">
        <v>1409</v>
      </c>
      <c r="J52" s="170">
        <v>1967</v>
      </c>
      <c r="K52" s="119">
        <f t="shared" si="9"/>
        <v>49</v>
      </c>
      <c r="L52" s="109" t="str">
        <f t="shared" si="6"/>
        <v>OK</v>
      </c>
      <c r="M52" s="170" t="s">
        <v>827</v>
      </c>
      <c r="Q52" s="138"/>
    </row>
    <row r="53" spans="1:17" s="170" customFormat="1" ht="13.5">
      <c r="A53" s="170" t="s">
        <v>912</v>
      </c>
      <c r="B53" s="139" t="s">
        <v>1251</v>
      </c>
      <c r="C53" s="139" t="s">
        <v>1280</v>
      </c>
      <c r="D53" s="170" t="s">
        <v>1559</v>
      </c>
      <c r="F53" s="170" t="str">
        <f t="shared" si="7"/>
        <v>B23</v>
      </c>
      <c r="G53" s="170" t="str">
        <f t="shared" si="8"/>
        <v>中村千春</v>
      </c>
      <c r="H53" s="170" t="s">
        <v>1559</v>
      </c>
      <c r="I53" s="139" t="s">
        <v>1409</v>
      </c>
      <c r="J53" s="170">
        <v>1961</v>
      </c>
      <c r="K53" s="119">
        <f t="shared" si="9"/>
        <v>55</v>
      </c>
      <c r="L53" s="109" t="str">
        <f t="shared" si="6"/>
        <v>OK</v>
      </c>
      <c r="M53" s="170" t="s">
        <v>828</v>
      </c>
      <c r="Q53" s="138"/>
    </row>
    <row r="54" spans="1:17" s="170" customFormat="1" ht="13.5">
      <c r="A54" s="170" t="s">
        <v>914</v>
      </c>
      <c r="B54" s="139" t="s">
        <v>1266</v>
      </c>
      <c r="C54" s="139" t="s">
        <v>1438</v>
      </c>
      <c r="D54" s="170" t="s">
        <v>1561</v>
      </c>
      <c r="F54" s="170" t="str">
        <f t="shared" si="7"/>
        <v>B24</v>
      </c>
      <c r="G54" s="170" t="str">
        <f t="shared" si="8"/>
        <v>橋本真理</v>
      </c>
      <c r="H54" s="170" t="s">
        <v>1561</v>
      </c>
      <c r="I54" s="139" t="s">
        <v>1409</v>
      </c>
      <c r="J54" s="170">
        <v>1977</v>
      </c>
      <c r="K54" s="119">
        <f t="shared" si="9"/>
        <v>39</v>
      </c>
      <c r="L54" s="109" t="str">
        <f t="shared" si="6"/>
        <v>OK</v>
      </c>
      <c r="M54" s="170" t="s">
        <v>1320</v>
      </c>
      <c r="Q54" s="138"/>
    </row>
    <row r="55" spans="1:17" s="170" customFormat="1" ht="13.5">
      <c r="A55" s="170" t="s">
        <v>915</v>
      </c>
      <c r="B55" s="139" t="s">
        <v>1282</v>
      </c>
      <c r="C55" s="139" t="s">
        <v>1283</v>
      </c>
      <c r="D55" s="170" t="s">
        <v>1559</v>
      </c>
      <c r="F55" s="170" t="str">
        <f t="shared" si="7"/>
        <v>B25</v>
      </c>
      <c r="G55" s="170" t="str">
        <f t="shared" si="8"/>
        <v>藤田博美</v>
      </c>
      <c r="H55" s="170" t="s">
        <v>1559</v>
      </c>
      <c r="I55" s="139" t="s">
        <v>1409</v>
      </c>
      <c r="J55" s="170">
        <v>1970</v>
      </c>
      <c r="K55" s="119">
        <f t="shared" si="9"/>
        <v>46</v>
      </c>
      <c r="L55" s="109" t="str">
        <f t="shared" si="6"/>
        <v>OK</v>
      </c>
      <c r="M55" s="170" t="s">
        <v>827</v>
      </c>
      <c r="Q55" s="138"/>
    </row>
    <row r="56" spans="1:17" s="170" customFormat="1" ht="13.5">
      <c r="A56" s="170" t="s">
        <v>916</v>
      </c>
      <c r="B56" s="139" t="s">
        <v>1284</v>
      </c>
      <c r="C56" s="139" t="s">
        <v>1285</v>
      </c>
      <c r="D56" s="170" t="s">
        <v>1559</v>
      </c>
      <c r="F56" s="170" t="str">
        <f t="shared" si="7"/>
        <v>B26</v>
      </c>
      <c r="G56" s="170" t="str">
        <f t="shared" si="8"/>
        <v>藤原泰子</v>
      </c>
      <c r="H56" s="170" t="s">
        <v>1559</v>
      </c>
      <c r="I56" s="139" t="s">
        <v>1409</v>
      </c>
      <c r="J56" s="170">
        <v>1965</v>
      </c>
      <c r="K56" s="119">
        <f t="shared" si="9"/>
        <v>51</v>
      </c>
      <c r="L56" s="109" t="str">
        <f aca="true" t="shared" si="10" ref="L56:L73">IF(G56="","",IF(COUNTIF($G$24:$G$617,G56)&gt;1,"2重登録","OK"))</f>
        <v>OK</v>
      </c>
      <c r="M56" s="170" t="s">
        <v>828</v>
      </c>
      <c r="Q56" s="138"/>
    </row>
    <row r="57" spans="1:17" s="170" customFormat="1" ht="13.5">
      <c r="A57" s="170" t="s">
        <v>917</v>
      </c>
      <c r="B57" s="139" t="s">
        <v>1486</v>
      </c>
      <c r="C57" s="139" t="s">
        <v>1439</v>
      </c>
      <c r="D57" s="170" t="s">
        <v>1560</v>
      </c>
      <c r="F57" s="170" t="str">
        <f t="shared" si="7"/>
        <v>B27</v>
      </c>
      <c r="G57" s="170" t="str">
        <f t="shared" si="8"/>
        <v>森 薫吏</v>
      </c>
      <c r="H57" s="170" t="s">
        <v>1560</v>
      </c>
      <c r="I57" s="139" t="s">
        <v>1409</v>
      </c>
      <c r="J57" s="170">
        <v>1964</v>
      </c>
      <c r="K57" s="119">
        <f t="shared" si="9"/>
        <v>52</v>
      </c>
      <c r="L57" s="109" t="str">
        <f t="shared" si="10"/>
        <v>OK</v>
      </c>
      <c r="M57" s="170" t="s">
        <v>1407</v>
      </c>
      <c r="Q57" s="138"/>
    </row>
    <row r="58" spans="1:17" s="170" customFormat="1" ht="13.5">
      <c r="A58" s="170" t="s">
        <v>918</v>
      </c>
      <c r="B58" s="139" t="s">
        <v>1440</v>
      </c>
      <c r="C58" s="139" t="s">
        <v>1441</v>
      </c>
      <c r="D58" s="170" t="s">
        <v>1559</v>
      </c>
      <c r="F58" s="170" t="str">
        <f t="shared" si="7"/>
        <v>B28</v>
      </c>
      <c r="G58" s="170" t="str">
        <f t="shared" si="8"/>
        <v>日髙眞規子</v>
      </c>
      <c r="H58" s="170" t="s">
        <v>1559</v>
      </c>
      <c r="I58" s="139" t="s">
        <v>1409</v>
      </c>
      <c r="J58" s="170">
        <v>1963</v>
      </c>
      <c r="K58" s="119">
        <f t="shared" si="9"/>
        <v>53</v>
      </c>
      <c r="L58" s="109" t="str">
        <f t="shared" si="10"/>
        <v>OK</v>
      </c>
      <c r="M58" s="170" t="s">
        <v>1320</v>
      </c>
      <c r="Q58" s="138"/>
    </row>
    <row r="59" spans="12:17" s="170" customFormat="1" ht="13.5">
      <c r="L59" s="109">
        <f t="shared" si="10"/>
      </c>
      <c r="Q59" s="138"/>
    </row>
    <row r="60" spans="12:17" ht="13.5">
      <c r="L60" s="109">
        <f t="shared" si="10"/>
      </c>
      <c r="Q60" s="138"/>
    </row>
    <row r="61" spans="2:17" s="170" customFormat="1" ht="13.5">
      <c r="B61" s="139"/>
      <c r="C61" s="139"/>
      <c r="K61" s="119"/>
      <c r="L61" s="109">
        <f t="shared" si="10"/>
      </c>
      <c r="Q61" s="138"/>
    </row>
    <row r="62" spans="2:17" s="170" customFormat="1" ht="13.5">
      <c r="B62" s="139"/>
      <c r="C62" s="139"/>
      <c r="K62" s="119"/>
      <c r="L62" s="109">
        <f t="shared" si="10"/>
      </c>
      <c r="Q62" s="138"/>
    </row>
    <row r="63" spans="2:17" s="170" customFormat="1" ht="13.5">
      <c r="B63" s="139"/>
      <c r="C63" s="139"/>
      <c r="K63" s="119"/>
      <c r="L63" s="109">
        <f t="shared" si="10"/>
      </c>
      <c r="Q63" s="138"/>
    </row>
    <row r="64" spans="2:17" s="170" customFormat="1" ht="13.5">
      <c r="B64" s="139"/>
      <c r="C64" s="139"/>
      <c r="K64" s="119"/>
      <c r="L64" s="109">
        <f t="shared" si="10"/>
      </c>
      <c r="Q64" s="138"/>
    </row>
    <row r="65" spans="2:17" s="170" customFormat="1" ht="13.5">
      <c r="B65" s="139"/>
      <c r="C65" s="139"/>
      <c r="K65" s="119"/>
      <c r="L65" s="109">
        <f t="shared" si="10"/>
      </c>
      <c r="Q65" s="138"/>
    </row>
    <row r="66" spans="2:17" s="170" customFormat="1" ht="13.5">
      <c r="B66" s="139"/>
      <c r="C66" s="139"/>
      <c r="K66" s="119"/>
      <c r="L66" s="109">
        <f t="shared" si="10"/>
      </c>
      <c r="Q66" s="138"/>
    </row>
    <row r="67" spans="2:17" s="170" customFormat="1" ht="13.5">
      <c r="B67" s="139"/>
      <c r="C67" s="139"/>
      <c r="K67" s="119"/>
      <c r="L67" s="109">
        <f t="shared" si="10"/>
      </c>
      <c r="Q67" s="138"/>
    </row>
    <row r="68" spans="2:17" s="170" customFormat="1" ht="13.5">
      <c r="B68" s="139"/>
      <c r="C68" s="139"/>
      <c r="K68" s="119"/>
      <c r="L68" s="109">
        <f t="shared" si="10"/>
      </c>
      <c r="Q68" s="138"/>
    </row>
    <row r="69" spans="1:15" s="124" customFormat="1" ht="13.5">
      <c r="A69" s="137"/>
      <c r="B69" s="143"/>
      <c r="C69" s="143"/>
      <c r="D69" s="137"/>
      <c r="E69" s="136"/>
      <c r="F69" s="109"/>
      <c r="G69" s="113"/>
      <c r="H69" s="137"/>
      <c r="I69" s="109"/>
      <c r="J69" s="136"/>
      <c r="K69" s="119"/>
      <c r="L69" s="109">
        <f t="shared" si="10"/>
      </c>
      <c r="N69" s="107"/>
      <c r="O69" s="107"/>
    </row>
    <row r="70" spans="1:15" s="124" customFormat="1" ht="13.5">
      <c r="A70" s="137"/>
      <c r="B70" s="143"/>
      <c r="C70" s="143"/>
      <c r="D70" s="137"/>
      <c r="E70" s="136"/>
      <c r="F70" s="109"/>
      <c r="G70" s="113"/>
      <c r="H70" s="137"/>
      <c r="I70" s="109"/>
      <c r="J70" s="136"/>
      <c r="K70" s="119"/>
      <c r="L70" s="109">
        <f t="shared" si="10"/>
      </c>
      <c r="N70" s="107"/>
      <c r="O70" s="107"/>
    </row>
    <row r="71" spans="1:15" s="124" customFormat="1" ht="13.5">
      <c r="A71" s="137"/>
      <c r="B71" s="143"/>
      <c r="C71" s="143"/>
      <c r="D71" s="137"/>
      <c r="E71" s="136"/>
      <c r="F71" s="109"/>
      <c r="G71" s="113"/>
      <c r="H71" s="137"/>
      <c r="I71" s="109"/>
      <c r="J71" s="136"/>
      <c r="K71" s="119"/>
      <c r="L71" s="109">
        <f t="shared" si="10"/>
      </c>
      <c r="N71" s="107"/>
      <c r="O71" s="107"/>
    </row>
    <row r="72" spans="1:12" s="234" customFormat="1" ht="13.5">
      <c r="A72" s="135"/>
      <c r="B72" s="138"/>
      <c r="C72" s="677" t="s">
        <v>1487</v>
      </c>
      <c r="D72" s="677"/>
      <c r="E72" s="678"/>
      <c r="F72" s="678"/>
      <c r="G72" s="678"/>
      <c r="H72" s="678"/>
      <c r="I72" s="678"/>
      <c r="J72" s="136"/>
      <c r="K72" s="119"/>
      <c r="L72" s="109">
        <f t="shared" si="10"/>
      </c>
    </row>
    <row r="73" spans="1:12" s="234" customFormat="1" ht="13.5">
      <c r="A73" s="135"/>
      <c r="B73" s="138"/>
      <c r="C73" s="677"/>
      <c r="D73" s="677"/>
      <c r="E73" s="678"/>
      <c r="F73" s="678"/>
      <c r="G73" s="678"/>
      <c r="H73" s="678"/>
      <c r="I73" s="678"/>
      <c r="J73" s="136"/>
      <c r="K73" s="119"/>
      <c r="L73" s="109">
        <f t="shared" si="10"/>
      </c>
    </row>
    <row r="74" spans="2:12" ht="13.5">
      <c r="B74" s="669" t="s">
        <v>1488</v>
      </c>
      <c r="C74" s="669"/>
      <c r="D74" s="108"/>
      <c r="F74" s="109"/>
      <c r="G74" s="107" t="s">
        <v>1537</v>
      </c>
      <c r="H74" s="107" t="s">
        <v>1538</v>
      </c>
      <c r="K74" s="119"/>
      <c r="L74" s="109"/>
    </row>
    <row r="75" spans="2:12" ht="13.5">
      <c r="B75" s="669"/>
      <c r="C75" s="669"/>
      <c r="D75" s="108"/>
      <c r="F75" s="109"/>
      <c r="G75" s="141">
        <f>COUNTIF(M78:M133,"東近江市")</f>
        <v>25</v>
      </c>
      <c r="H75" s="142">
        <f>(G75/RIGHT(A133,2))</f>
        <v>0.44642857142857145</v>
      </c>
      <c r="K75" s="119"/>
      <c r="L75" s="109"/>
    </row>
    <row r="76" spans="2:12" ht="13.5">
      <c r="B76" s="108" t="s">
        <v>1636</v>
      </c>
      <c r="C76" s="274"/>
      <c r="D76" s="107" t="s">
        <v>592</v>
      </c>
      <c r="F76" s="109"/>
      <c r="G76" s="141"/>
      <c r="H76" s="142"/>
      <c r="K76" s="119"/>
      <c r="L76" s="109"/>
    </row>
    <row r="77" spans="2:12" ht="13.5">
      <c r="B77" s="108" t="s">
        <v>1216</v>
      </c>
      <c r="C77" s="274"/>
      <c r="D77" s="155" t="s">
        <v>590</v>
      </c>
      <c r="F77" s="109"/>
      <c r="G77" s="141"/>
      <c r="H77" s="142"/>
      <c r="K77" s="119"/>
      <c r="L77" s="109"/>
    </row>
    <row r="78" spans="1:13" s="106" customFormat="1" ht="13.5">
      <c r="A78" s="107" t="s">
        <v>920</v>
      </c>
      <c r="B78" s="156" t="s">
        <v>869</v>
      </c>
      <c r="C78" s="156" t="s">
        <v>921</v>
      </c>
      <c r="D78" s="108" t="s">
        <v>1216</v>
      </c>
      <c r="E78" s="107"/>
      <c r="F78" s="109" t="str">
        <f aca="true" t="shared" si="11" ref="F78:F117">A78</f>
        <v>C01</v>
      </c>
      <c r="G78" s="107" t="str">
        <f aca="true" t="shared" si="12" ref="G78:G117">B78&amp;C78</f>
        <v>片岡春己</v>
      </c>
      <c r="H78" s="108" t="s">
        <v>1636</v>
      </c>
      <c r="I78" s="108" t="s">
        <v>1214</v>
      </c>
      <c r="J78" s="121">
        <v>1953</v>
      </c>
      <c r="K78" s="119">
        <f>IF(J78="","",(2016-J78))</f>
        <v>63</v>
      </c>
      <c r="L78" s="109" t="str">
        <f aca="true" t="shared" si="13" ref="L78:L109">IF(G78="","",IF(COUNTIF($G$24:$G$617,G78)&gt;1,"2重登録","OK"))</f>
        <v>OK</v>
      </c>
      <c r="M78" s="148" t="s">
        <v>830</v>
      </c>
    </row>
    <row r="79" spans="1:13" s="106" customFormat="1" ht="13.5">
      <c r="A79" s="107" t="s">
        <v>922</v>
      </c>
      <c r="B79" s="156" t="s">
        <v>906</v>
      </c>
      <c r="C79" s="156" t="s">
        <v>930</v>
      </c>
      <c r="D79" s="108" t="s">
        <v>1216</v>
      </c>
      <c r="E79" s="107"/>
      <c r="F79" s="109" t="str">
        <f t="shared" si="11"/>
        <v>C02</v>
      </c>
      <c r="G79" s="107" t="str">
        <f t="shared" si="12"/>
        <v>山本　真</v>
      </c>
      <c r="H79" s="108" t="s">
        <v>919</v>
      </c>
      <c r="I79" s="108" t="s">
        <v>1214</v>
      </c>
      <c r="J79" s="121">
        <v>1970</v>
      </c>
      <c r="K79" s="119">
        <f aca="true" t="shared" si="14" ref="K79:K133">IF(J79="","",(2016-J79))</f>
        <v>46</v>
      </c>
      <c r="L79" s="109" t="str">
        <f t="shared" si="13"/>
        <v>OK</v>
      </c>
      <c r="M79" s="149" t="s">
        <v>827</v>
      </c>
    </row>
    <row r="80" spans="1:13" s="106" customFormat="1" ht="13.5">
      <c r="A80" s="107" t="s">
        <v>925</v>
      </c>
      <c r="B80" s="156" t="s">
        <v>906</v>
      </c>
      <c r="C80" s="156" t="s">
        <v>958</v>
      </c>
      <c r="D80" s="108" t="s">
        <v>1216</v>
      </c>
      <c r="E80" s="107"/>
      <c r="F80" s="109" t="str">
        <f t="shared" si="11"/>
        <v>C03</v>
      </c>
      <c r="G80" s="107" t="str">
        <f t="shared" si="12"/>
        <v>山本　諭</v>
      </c>
      <c r="H80" s="108" t="s">
        <v>919</v>
      </c>
      <c r="I80" s="108" t="s">
        <v>1214</v>
      </c>
      <c r="J80" s="121">
        <v>1971</v>
      </c>
      <c r="K80" s="119">
        <f t="shared" si="14"/>
        <v>45</v>
      </c>
      <c r="L80" s="109" t="str">
        <f t="shared" si="13"/>
        <v>OK</v>
      </c>
      <c r="M80" s="148" t="s">
        <v>830</v>
      </c>
    </row>
    <row r="81" spans="1:13" s="106" customFormat="1" ht="13.5">
      <c r="A81" s="107" t="s">
        <v>928</v>
      </c>
      <c r="B81" s="156" t="s">
        <v>961</v>
      </c>
      <c r="C81" s="156" t="s">
        <v>962</v>
      </c>
      <c r="D81" s="108" t="s">
        <v>1216</v>
      </c>
      <c r="E81" s="107"/>
      <c r="F81" s="109" t="str">
        <f t="shared" si="11"/>
        <v>C04</v>
      </c>
      <c r="G81" s="107" t="str">
        <f t="shared" si="12"/>
        <v>西田裕信</v>
      </c>
      <c r="H81" s="108" t="s">
        <v>919</v>
      </c>
      <c r="I81" s="108" t="s">
        <v>1214</v>
      </c>
      <c r="J81" s="121">
        <v>1960</v>
      </c>
      <c r="K81" s="119">
        <f t="shared" si="14"/>
        <v>56</v>
      </c>
      <c r="L81" s="109" t="str">
        <f t="shared" si="13"/>
        <v>OK</v>
      </c>
      <c r="M81" s="149" t="s">
        <v>796</v>
      </c>
    </row>
    <row r="82" spans="1:13" s="106" customFormat="1" ht="13.5">
      <c r="A82" s="107" t="s">
        <v>929</v>
      </c>
      <c r="B82" s="156" t="s">
        <v>968</v>
      </c>
      <c r="C82" s="156" t="s">
        <v>969</v>
      </c>
      <c r="D82" s="108" t="s">
        <v>1216</v>
      </c>
      <c r="E82" s="107"/>
      <c r="F82" s="109" t="str">
        <f t="shared" si="11"/>
        <v>C05</v>
      </c>
      <c r="G82" s="107" t="str">
        <f t="shared" si="12"/>
        <v>柴谷義信</v>
      </c>
      <c r="H82" s="108" t="s">
        <v>919</v>
      </c>
      <c r="I82" s="108" t="s">
        <v>1214</v>
      </c>
      <c r="J82" s="121">
        <v>1962</v>
      </c>
      <c r="K82" s="119">
        <f t="shared" si="14"/>
        <v>54</v>
      </c>
      <c r="L82" s="109" t="str">
        <f t="shared" si="13"/>
        <v>OK</v>
      </c>
      <c r="M82" s="149" t="s">
        <v>827</v>
      </c>
    </row>
    <row r="83" spans="1:13" s="106" customFormat="1" ht="13.5">
      <c r="A83" s="107" t="s">
        <v>931</v>
      </c>
      <c r="B83" s="156" t="s">
        <v>971</v>
      </c>
      <c r="C83" s="156" t="s">
        <v>972</v>
      </c>
      <c r="D83" s="108" t="s">
        <v>1216</v>
      </c>
      <c r="E83" s="107"/>
      <c r="F83" s="109" t="str">
        <f t="shared" si="11"/>
        <v>C06</v>
      </c>
      <c r="G83" s="107" t="str">
        <f t="shared" si="12"/>
        <v>井尻善和</v>
      </c>
      <c r="H83" s="108" t="s">
        <v>919</v>
      </c>
      <c r="I83" s="108" t="s">
        <v>1214</v>
      </c>
      <c r="J83" s="121">
        <v>1968</v>
      </c>
      <c r="K83" s="119">
        <f t="shared" si="14"/>
        <v>48</v>
      </c>
      <c r="L83" s="109" t="str">
        <f t="shared" si="13"/>
        <v>OK</v>
      </c>
      <c r="M83" s="149" t="s">
        <v>1356</v>
      </c>
    </row>
    <row r="84" spans="1:13" s="106" customFormat="1" ht="13.5">
      <c r="A84" s="107" t="s">
        <v>934</v>
      </c>
      <c r="B84" s="156" t="s">
        <v>980</v>
      </c>
      <c r="C84" s="111" t="s">
        <v>981</v>
      </c>
      <c r="D84" s="108" t="s">
        <v>1216</v>
      </c>
      <c r="E84" s="107"/>
      <c r="F84" s="109" t="str">
        <f t="shared" si="11"/>
        <v>C07</v>
      </c>
      <c r="G84" s="107" t="str">
        <f t="shared" si="12"/>
        <v>坂元智成</v>
      </c>
      <c r="H84" s="108" t="s">
        <v>919</v>
      </c>
      <c r="I84" s="108" t="s">
        <v>1214</v>
      </c>
      <c r="J84" s="121">
        <v>1975</v>
      </c>
      <c r="K84" s="119">
        <f t="shared" si="14"/>
        <v>41</v>
      </c>
      <c r="L84" s="109" t="str">
        <f t="shared" si="13"/>
        <v>OK</v>
      </c>
      <c r="M84" s="148" t="s">
        <v>830</v>
      </c>
    </row>
    <row r="85" spans="1:13" s="106" customFormat="1" ht="13.5">
      <c r="A85" s="107" t="s">
        <v>935</v>
      </c>
      <c r="B85" s="156" t="s">
        <v>984</v>
      </c>
      <c r="C85" s="111" t="s">
        <v>985</v>
      </c>
      <c r="D85" s="108" t="s">
        <v>1216</v>
      </c>
      <c r="E85" s="107"/>
      <c r="F85" s="109" t="str">
        <f t="shared" si="11"/>
        <v>C08</v>
      </c>
      <c r="G85" s="107" t="str">
        <f t="shared" si="12"/>
        <v>村尾彰了</v>
      </c>
      <c r="H85" s="108" t="s">
        <v>919</v>
      </c>
      <c r="I85" s="108" t="s">
        <v>1214</v>
      </c>
      <c r="J85" s="121">
        <v>1982</v>
      </c>
      <c r="K85" s="119">
        <f t="shared" si="14"/>
        <v>34</v>
      </c>
      <c r="L85" s="109" t="str">
        <f t="shared" si="13"/>
        <v>OK</v>
      </c>
      <c r="M85" s="149" t="s">
        <v>1356</v>
      </c>
    </row>
    <row r="86" spans="1:13" s="106" customFormat="1" ht="13.5">
      <c r="A86" s="107" t="s">
        <v>853</v>
      </c>
      <c r="B86" s="156" t="s">
        <v>1442</v>
      </c>
      <c r="C86" s="111" t="s">
        <v>987</v>
      </c>
      <c r="D86" s="108" t="s">
        <v>1216</v>
      </c>
      <c r="E86" s="107"/>
      <c r="F86" s="109" t="str">
        <f t="shared" si="11"/>
        <v>C09</v>
      </c>
      <c r="G86" s="107" t="str">
        <f t="shared" si="12"/>
        <v>荒浪順次</v>
      </c>
      <c r="H86" s="108" t="s">
        <v>919</v>
      </c>
      <c r="I86" s="108" t="s">
        <v>1214</v>
      </c>
      <c r="J86" s="121">
        <v>1977</v>
      </c>
      <c r="K86" s="119">
        <f t="shared" si="14"/>
        <v>39</v>
      </c>
      <c r="L86" s="109" t="str">
        <f t="shared" si="13"/>
        <v>OK</v>
      </c>
      <c r="M86" s="149" t="s">
        <v>1322</v>
      </c>
    </row>
    <row r="87" spans="1:13" s="106" customFormat="1" ht="13.5">
      <c r="A87" s="107" t="s">
        <v>940</v>
      </c>
      <c r="B87" s="156" t="s">
        <v>989</v>
      </c>
      <c r="C87" s="111" t="s">
        <v>990</v>
      </c>
      <c r="D87" s="108" t="s">
        <v>1216</v>
      </c>
      <c r="E87" s="107"/>
      <c r="F87" s="109" t="str">
        <f t="shared" si="11"/>
        <v>C10</v>
      </c>
      <c r="G87" s="107" t="str">
        <f t="shared" si="12"/>
        <v>中本隆司</v>
      </c>
      <c r="H87" s="108" t="s">
        <v>919</v>
      </c>
      <c r="I87" s="108" t="s">
        <v>1214</v>
      </c>
      <c r="J87" s="121">
        <v>1968</v>
      </c>
      <c r="K87" s="119">
        <f t="shared" si="14"/>
        <v>48</v>
      </c>
      <c r="L87" s="109" t="str">
        <f t="shared" si="13"/>
        <v>OK</v>
      </c>
      <c r="M87" s="148" t="s">
        <v>830</v>
      </c>
    </row>
    <row r="88" spans="1:13" s="106" customFormat="1" ht="13.5">
      <c r="A88" s="107" t="s">
        <v>943</v>
      </c>
      <c r="B88" s="156" t="s">
        <v>998</v>
      </c>
      <c r="C88" s="111" t="s">
        <v>999</v>
      </c>
      <c r="D88" s="108" t="s">
        <v>1216</v>
      </c>
      <c r="E88" s="107"/>
      <c r="F88" s="109" t="str">
        <f t="shared" si="11"/>
        <v>C11</v>
      </c>
      <c r="G88" s="107" t="str">
        <f t="shared" si="12"/>
        <v>小山　嶺</v>
      </c>
      <c r="H88" s="108" t="s">
        <v>919</v>
      </c>
      <c r="I88" s="108" t="s">
        <v>1214</v>
      </c>
      <c r="J88" s="121">
        <v>1986</v>
      </c>
      <c r="K88" s="119">
        <f t="shared" si="14"/>
        <v>30</v>
      </c>
      <c r="L88" s="109" t="str">
        <f t="shared" si="13"/>
        <v>OK</v>
      </c>
      <c r="M88" s="148" t="s">
        <v>830</v>
      </c>
    </row>
    <row r="89" spans="1:13" s="106" customFormat="1" ht="13.5">
      <c r="A89" s="107" t="s">
        <v>946</v>
      </c>
      <c r="B89" s="156" t="s">
        <v>1001</v>
      </c>
      <c r="C89" s="111" t="s">
        <v>1002</v>
      </c>
      <c r="D89" s="108" t="s">
        <v>1216</v>
      </c>
      <c r="E89" s="107"/>
      <c r="F89" s="109" t="str">
        <f t="shared" si="11"/>
        <v>C12</v>
      </c>
      <c r="G89" s="107" t="str">
        <f t="shared" si="12"/>
        <v>鉄川聡志</v>
      </c>
      <c r="H89" s="108" t="s">
        <v>919</v>
      </c>
      <c r="I89" s="108" t="s">
        <v>1214</v>
      </c>
      <c r="J89" s="121">
        <v>1986</v>
      </c>
      <c r="K89" s="119">
        <f t="shared" si="14"/>
        <v>30</v>
      </c>
      <c r="L89" s="109" t="str">
        <f t="shared" si="13"/>
        <v>OK</v>
      </c>
      <c r="M89" s="149" t="s">
        <v>825</v>
      </c>
    </row>
    <row r="90" spans="1:13" s="106" customFormat="1" ht="13.5">
      <c r="A90" s="107" t="s">
        <v>949</v>
      </c>
      <c r="B90" s="156" t="s">
        <v>1012</v>
      </c>
      <c r="C90" s="111" t="s">
        <v>1013</v>
      </c>
      <c r="D90" s="108" t="s">
        <v>1216</v>
      </c>
      <c r="E90" s="107"/>
      <c r="F90" s="109" t="str">
        <f t="shared" si="11"/>
        <v>C13</v>
      </c>
      <c r="G90" s="107" t="str">
        <f t="shared" si="12"/>
        <v>名合佑介</v>
      </c>
      <c r="H90" s="108" t="s">
        <v>919</v>
      </c>
      <c r="I90" s="108" t="s">
        <v>1214</v>
      </c>
      <c r="J90" s="121">
        <v>1986</v>
      </c>
      <c r="K90" s="119">
        <f t="shared" si="14"/>
        <v>30</v>
      </c>
      <c r="L90" s="109" t="str">
        <f t="shared" si="13"/>
        <v>OK</v>
      </c>
      <c r="M90" s="148" t="s">
        <v>830</v>
      </c>
    </row>
    <row r="91" spans="1:13" s="106" customFormat="1" ht="13.5">
      <c r="A91" s="107" t="s">
        <v>952</v>
      </c>
      <c r="B91" s="156" t="s">
        <v>1015</v>
      </c>
      <c r="C91" s="111" t="s">
        <v>1016</v>
      </c>
      <c r="D91" s="108" t="s">
        <v>1216</v>
      </c>
      <c r="E91" s="107"/>
      <c r="F91" s="109" t="str">
        <f t="shared" si="11"/>
        <v>C14</v>
      </c>
      <c r="G91" s="107" t="str">
        <f t="shared" si="12"/>
        <v>宮道祐介</v>
      </c>
      <c r="H91" s="108" t="s">
        <v>919</v>
      </c>
      <c r="I91" s="108" t="s">
        <v>1214</v>
      </c>
      <c r="J91" s="121">
        <v>1983</v>
      </c>
      <c r="K91" s="119">
        <f t="shared" si="14"/>
        <v>33</v>
      </c>
      <c r="L91" s="109" t="str">
        <f t="shared" si="13"/>
        <v>OK</v>
      </c>
      <c r="M91" s="149" t="s">
        <v>827</v>
      </c>
    </row>
    <row r="92" spans="1:13" s="106" customFormat="1" ht="13.5">
      <c r="A92" s="107" t="s">
        <v>954</v>
      </c>
      <c r="B92" s="156" t="s">
        <v>1022</v>
      </c>
      <c r="C92" s="111" t="s">
        <v>1023</v>
      </c>
      <c r="D92" s="108" t="s">
        <v>1216</v>
      </c>
      <c r="E92" s="107"/>
      <c r="F92" s="109" t="str">
        <f t="shared" si="11"/>
        <v>C15</v>
      </c>
      <c r="G92" s="107" t="str">
        <f t="shared" si="12"/>
        <v>本間靖教</v>
      </c>
      <c r="H92" s="108" t="s">
        <v>1637</v>
      </c>
      <c r="I92" s="108" t="s">
        <v>1214</v>
      </c>
      <c r="J92" s="121">
        <v>1985</v>
      </c>
      <c r="K92" s="119">
        <f t="shared" si="14"/>
        <v>31</v>
      </c>
      <c r="L92" s="109" t="str">
        <f t="shared" si="13"/>
        <v>OK</v>
      </c>
      <c r="M92" s="148" t="s">
        <v>830</v>
      </c>
    </row>
    <row r="93" spans="1:13" s="106" customFormat="1" ht="13.5">
      <c r="A93" s="107" t="s">
        <v>955</v>
      </c>
      <c r="B93" s="157" t="s">
        <v>1026</v>
      </c>
      <c r="C93" s="157" t="s">
        <v>1027</v>
      </c>
      <c r="D93" s="108" t="s">
        <v>1216</v>
      </c>
      <c r="E93" s="107"/>
      <c r="F93" s="109" t="str">
        <f t="shared" si="11"/>
        <v>C16</v>
      </c>
      <c r="G93" s="108" t="str">
        <f t="shared" si="12"/>
        <v>並河智加</v>
      </c>
      <c r="H93" s="108" t="s">
        <v>919</v>
      </c>
      <c r="I93" s="113" t="s">
        <v>1215</v>
      </c>
      <c r="J93" s="121">
        <v>1979</v>
      </c>
      <c r="K93" s="119">
        <f t="shared" si="14"/>
        <v>37</v>
      </c>
      <c r="L93" s="109" t="str">
        <f t="shared" si="13"/>
        <v>OK</v>
      </c>
      <c r="M93" s="149" t="s">
        <v>827</v>
      </c>
    </row>
    <row r="94" spans="1:13" s="106" customFormat="1" ht="13.5">
      <c r="A94" s="107" t="s">
        <v>957</v>
      </c>
      <c r="B94" s="108" t="s">
        <v>1638</v>
      </c>
      <c r="C94" s="108" t="s">
        <v>1031</v>
      </c>
      <c r="D94" s="108" t="s">
        <v>1216</v>
      </c>
      <c r="E94" s="107"/>
      <c r="F94" s="109" t="str">
        <f t="shared" si="11"/>
        <v>C17</v>
      </c>
      <c r="G94" s="107" t="str">
        <f t="shared" si="12"/>
        <v>橘　崇博</v>
      </c>
      <c r="H94" s="108" t="s">
        <v>919</v>
      </c>
      <c r="I94" s="108" t="s">
        <v>1214</v>
      </c>
      <c r="J94" s="121">
        <v>1980</v>
      </c>
      <c r="K94" s="119">
        <f t="shared" si="14"/>
        <v>36</v>
      </c>
      <c r="L94" s="109" t="str">
        <f t="shared" si="13"/>
        <v>OK</v>
      </c>
      <c r="M94" s="148" t="s">
        <v>830</v>
      </c>
    </row>
    <row r="95" spans="1:13" s="106" customFormat="1" ht="13.5">
      <c r="A95" s="107" t="s">
        <v>959</v>
      </c>
      <c r="B95" s="111" t="s">
        <v>866</v>
      </c>
      <c r="C95" s="111" t="s">
        <v>1032</v>
      </c>
      <c r="D95" s="108" t="s">
        <v>1216</v>
      </c>
      <c r="E95" s="107"/>
      <c r="F95" s="109" t="str">
        <f t="shared" si="11"/>
        <v>C18</v>
      </c>
      <c r="G95" s="107" t="str">
        <f t="shared" si="12"/>
        <v>岡本　彰</v>
      </c>
      <c r="H95" s="108" t="s">
        <v>919</v>
      </c>
      <c r="I95" s="108" t="s">
        <v>1214</v>
      </c>
      <c r="J95" s="121">
        <v>1986</v>
      </c>
      <c r="K95" s="119">
        <f t="shared" si="14"/>
        <v>30</v>
      </c>
      <c r="L95" s="109" t="str">
        <f t="shared" si="13"/>
        <v>OK</v>
      </c>
      <c r="M95" s="149" t="s">
        <v>825</v>
      </c>
    </row>
    <row r="96" spans="1:13" s="106" customFormat="1" ht="13.5">
      <c r="A96" s="107" t="s">
        <v>960</v>
      </c>
      <c r="B96" s="111" t="s">
        <v>1033</v>
      </c>
      <c r="C96" s="111" t="s">
        <v>1034</v>
      </c>
      <c r="D96" s="108" t="s">
        <v>1216</v>
      </c>
      <c r="E96" s="107"/>
      <c r="F96" s="109" t="str">
        <f t="shared" si="11"/>
        <v>C19</v>
      </c>
      <c r="G96" s="107" t="str">
        <f t="shared" si="12"/>
        <v>辻井貴大</v>
      </c>
      <c r="H96" s="108" t="s">
        <v>919</v>
      </c>
      <c r="I96" s="108" t="s">
        <v>1214</v>
      </c>
      <c r="J96" s="121">
        <v>1992</v>
      </c>
      <c r="K96" s="119">
        <f t="shared" si="14"/>
        <v>24</v>
      </c>
      <c r="L96" s="109" t="str">
        <f t="shared" si="13"/>
        <v>OK</v>
      </c>
      <c r="M96" s="148" t="s">
        <v>830</v>
      </c>
    </row>
    <row r="97" spans="1:13" s="106" customFormat="1" ht="13.5">
      <c r="A97" s="107" t="s">
        <v>963</v>
      </c>
      <c r="B97" s="111" t="s">
        <v>1036</v>
      </c>
      <c r="C97" s="111" t="s">
        <v>1037</v>
      </c>
      <c r="D97" s="108" t="s">
        <v>1216</v>
      </c>
      <c r="E97" s="107"/>
      <c r="F97" s="109" t="str">
        <f t="shared" si="11"/>
        <v>C20</v>
      </c>
      <c r="G97" s="107" t="str">
        <f t="shared" si="12"/>
        <v>寺岡淳平</v>
      </c>
      <c r="H97" s="108" t="s">
        <v>919</v>
      </c>
      <c r="I97" s="108" t="s">
        <v>1214</v>
      </c>
      <c r="J97" s="121">
        <v>1990</v>
      </c>
      <c r="K97" s="119">
        <f t="shared" si="14"/>
        <v>26</v>
      </c>
      <c r="L97" s="109" t="str">
        <f t="shared" si="13"/>
        <v>OK</v>
      </c>
      <c r="M97" s="148" t="s">
        <v>830</v>
      </c>
    </row>
    <row r="98" spans="1:13" s="106" customFormat="1" ht="13.5">
      <c r="A98" s="107" t="s">
        <v>966</v>
      </c>
      <c r="B98" s="111" t="s">
        <v>1038</v>
      </c>
      <c r="C98" s="111" t="s">
        <v>1039</v>
      </c>
      <c r="D98" s="108" t="s">
        <v>1216</v>
      </c>
      <c r="E98" s="107"/>
      <c r="F98" s="109" t="str">
        <f t="shared" si="11"/>
        <v>C21</v>
      </c>
      <c r="G98" s="107" t="str">
        <f t="shared" si="12"/>
        <v>牛尾紳之介</v>
      </c>
      <c r="H98" s="108" t="s">
        <v>919</v>
      </c>
      <c r="I98" s="108" t="s">
        <v>1214</v>
      </c>
      <c r="J98" s="121">
        <v>1984</v>
      </c>
      <c r="K98" s="119">
        <f t="shared" si="14"/>
        <v>32</v>
      </c>
      <c r="L98" s="109" t="str">
        <f t="shared" si="13"/>
        <v>OK</v>
      </c>
      <c r="M98" s="148" t="s">
        <v>830</v>
      </c>
    </row>
    <row r="99" spans="1:13" s="106" customFormat="1" ht="13.5">
      <c r="A99" s="107" t="s">
        <v>967</v>
      </c>
      <c r="B99" s="111" t="s">
        <v>884</v>
      </c>
      <c r="C99" s="111" t="s">
        <v>1040</v>
      </c>
      <c r="D99" s="108" t="s">
        <v>1216</v>
      </c>
      <c r="E99" s="107"/>
      <c r="F99" s="109" t="str">
        <f t="shared" si="11"/>
        <v>C22</v>
      </c>
      <c r="G99" s="107" t="str">
        <f t="shared" si="12"/>
        <v>松岡　遼</v>
      </c>
      <c r="H99" s="108" t="s">
        <v>919</v>
      </c>
      <c r="I99" s="108" t="s">
        <v>1214</v>
      </c>
      <c r="J99" s="121">
        <v>1983</v>
      </c>
      <c r="K99" s="119">
        <f t="shared" si="14"/>
        <v>33</v>
      </c>
      <c r="L99" s="109" t="str">
        <f t="shared" si="13"/>
        <v>OK</v>
      </c>
      <c r="M99" s="148" t="s">
        <v>830</v>
      </c>
    </row>
    <row r="100" spans="1:13" s="106" customFormat="1" ht="13.5">
      <c r="A100" s="107" t="s">
        <v>970</v>
      </c>
      <c r="B100" s="111" t="s">
        <v>1410</v>
      </c>
      <c r="C100" s="111" t="s">
        <v>1325</v>
      </c>
      <c r="D100" s="108" t="s">
        <v>1216</v>
      </c>
      <c r="E100" s="107"/>
      <c r="F100" s="109" t="str">
        <f t="shared" si="11"/>
        <v>C23</v>
      </c>
      <c r="G100" s="107" t="str">
        <f t="shared" si="12"/>
        <v>西　裕紀</v>
      </c>
      <c r="H100" s="108" t="s">
        <v>919</v>
      </c>
      <c r="I100" s="108" t="s">
        <v>1214</v>
      </c>
      <c r="J100" s="121">
        <v>1974</v>
      </c>
      <c r="K100" s="119">
        <f t="shared" si="14"/>
        <v>42</v>
      </c>
      <c r="L100" s="109" t="str">
        <f t="shared" si="13"/>
        <v>OK</v>
      </c>
      <c r="M100" s="148" t="s">
        <v>830</v>
      </c>
    </row>
    <row r="101" spans="1:13" s="235" customFormat="1" ht="13.5">
      <c r="A101" s="107" t="s">
        <v>973</v>
      </c>
      <c r="B101" s="111" t="s">
        <v>1489</v>
      </c>
      <c r="C101" s="111" t="s">
        <v>1490</v>
      </c>
      <c r="D101" s="108" t="s">
        <v>1216</v>
      </c>
      <c r="E101" s="107"/>
      <c r="F101" s="109" t="s">
        <v>1491</v>
      </c>
      <c r="G101" s="107" t="s">
        <v>1492</v>
      </c>
      <c r="H101" s="108" t="s">
        <v>919</v>
      </c>
      <c r="I101" s="108" t="s">
        <v>1214</v>
      </c>
      <c r="J101" s="121">
        <v>1967</v>
      </c>
      <c r="K101" s="119">
        <f t="shared" si="14"/>
        <v>49</v>
      </c>
      <c r="L101" s="109" t="str">
        <f t="shared" si="13"/>
        <v>OK</v>
      </c>
      <c r="M101" s="148" t="s">
        <v>829</v>
      </c>
    </row>
    <row r="102" spans="1:13" s="106" customFormat="1" ht="13.5">
      <c r="A102" s="107" t="s">
        <v>974</v>
      </c>
      <c r="B102" s="107" t="s">
        <v>1248</v>
      </c>
      <c r="C102" s="107" t="s">
        <v>1335</v>
      </c>
      <c r="D102" s="108" t="s">
        <v>1216</v>
      </c>
      <c r="E102" s="107"/>
      <c r="F102" s="109" t="str">
        <f t="shared" si="11"/>
        <v>C25</v>
      </c>
      <c r="G102" s="107" t="str">
        <f t="shared" si="12"/>
        <v>田中英夫</v>
      </c>
      <c r="H102" s="108" t="s">
        <v>919</v>
      </c>
      <c r="I102" s="108" t="s">
        <v>1214</v>
      </c>
      <c r="J102" s="121">
        <v>1980</v>
      </c>
      <c r="K102" s="119">
        <f t="shared" si="14"/>
        <v>36</v>
      </c>
      <c r="L102" s="109" t="str">
        <f t="shared" si="13"/>
        <v>OK</v>
      </c>
      <c r="M102" s="149" t="s">
        <v>825</v>
      </c>
    </row>
    <row r="103" spans="1:13" s="106" customFormat="1" ht="13.5">
      <c r="A103" s="107" t="s">
        <v>977</v>
      </c>
      <c r="B103" s="107" t="s">
        <v>1443</v>
      </c>
      <c r="C103" s="107" t="s">
        <v>1444</v>
      </c>
      <c r="D103" s="108" t="s">
        <v>1216</v>
      </c>
      <c r="E103" s="107"/>
      <c r="F103" s="109" t="str">
        <f t="shared" si="11"/>
        <v>C26</v>
      </c>
      <c r="G103" s="107" t="str">
        <f t="shared" si="12"/>
        <v>北村直史</v>
      </c>
      <c r="H103" s="108" t="s">
        <v>919</v>
      </c>
      <c r="I103" s="108" t="s">
        <v>1214</v>
      </c>
      <c r="J103" s="121">
        <v>1987</v>
      </c>
      <c r="K103" s="119">
        <f t="shared" si="14"/>
        <v>29</v>
      </c>
      <c r="L103" s="109" t="str">
        <f t="shared" si="13"/>
        <v>OK</v>
      </c>
      <c r="M103" s="148" t="s">
        <v>830</v>
      </c>
    </row>
    <row r="104" spans="1:13" s="106" customFormat="1" ht="13.5">
      <c r="A104" s="107" t="s">
        <v>978</v>
      </c>
      <c r="B104" s="107" t="s">
        <v>1445</v>
      </c>
      <c r="C104" s="107" t="s">
        <v>1446</v>
      </c>
      <c r="D104" s="108" t="s">
        <v>1216</v>
      </c>
      <c r="E104" s="107"/>
      <c r="F104" s="109" t="str">
        <f t="shared" si="11"/>
        <v>C27</v>
      </c>
      <c r="G104" s="107" t="str">
        <f t="shared" si="12"/>
        <v>久保田泰成</v>
      </c>
      <c r="H104" s="108" t="s">
        <v>919</v>
      </c>
      <c r="I104" s="108" t="s">
        <v>1214</v>
      </c>
      <c r="J104" s="121">
        <v>1985</v>
      </c>
      <c r="K104" s="119">
        <f t="shared" si="14"/>
        <v>31</v>
      </c>
      <c r="L104" s="109" t="str">
        <f t="shared" si="13"/>
        <v>OK</v>
      </c>
      <c r="M104" s="148" t="s">
        <v>830</v>
      </c>
    </row>
    <row r="105" spans="1:13" s="106" customFormat="1" ht="13.5">
      <c r="A105" s="107" t="s">
        <v>979</v>
      </c>
      <c r="B105" s="107" t="s">
        <v>1447</v>
      </c>
      <c r="C105" s="194" t="s">
        <v>1448</v>
      </c>
      <c r="D105" s="108" t="s">
        <v>1216</v>
      </c>
      <c r="E105" s="107"/>
      <c r="F105" s="109" t="str">
        <f t="shared" si="11"/>
        <v>C28</v>
      </c>
      <c r="G105" s="107" t="str">
        <f t="shared" si="12"/>
        <v>石川和洋</v>
      </c>
      <c r="H105" s="108" t="s">
        <v>919</v>
      </c>
      <c r="I105" s="108" t="s">
        <v>1214</v>
      </c>
      <c r="J105" s="121">
        <v>1979</v>
      </c>
      <c r="K105" s="119">
        <f t="shared" si="14"/>
        <v>37</v>
      </c>
      <c r="L105" s="109" t="str">
        <f t="shared" si="13"/>
        <v>OK</v>
      </c>
      <c r="M105" s="149" t="s">
        <v>1449</v>
      </c>
    </row>
    <row r="106" spans="1:13" s="106" customFormat="1" ht="13.5">
      <c r="A106" s="107" t="s">
        <v>982</v>
      </c>
      <c r="B106" s="156" t="s">
        <v>926</v>
      </c>
      <c r="C106" s="156" t="s">
        <v>927</v>
      </c>
      <c r="D106" s="108" t="s">
        <v>1216</v>
      </c>
      <c r="E106" s="107"/>
      <c r="F106" s="109" t="str">
        <f t="shared" si="11"/>
        <v>C29</v>
      </c>
      <c r="G106" s="107" t="str">
        <f t="shared" si="12"/>
        <v>奥田康博</v>
      </c>
      <c r="H106" s="108" t="s">
        <v>919</v>
      </c>
      <c r="I106" s="108" t="s">
        <v>1214</v>
      </c>
      <c r="J106" s="121">
        <v>1966</v>
      </c>
      <c r="K106" s="119">
        <f t="shared" si="14"/>
        <v>50</v>
      </c>
      <c r="L106" s="109" t="str">
        <f t="shared" si="13"/>
        <v>OK</v>
      </c>
      <c r="M106" s="148" t="s">
        <v>830</v>
      </c>
    </row>
    <row r="107" spans="1:13" s="106" customFormat="1" ht="13.5">
      <c r="A107" s="107" t="s">
        <v>983</v>
      </c>
      <c r="B107" s="156" t="s">
        <v>932</v>
      </c>
      <c r="C107" s="156" t="s">
        <v>933</v>
      </c>
      <c r="D107" s="108" t="s">
        <v>1216</v>
      </c>
      <c r="E107" s="107"/>
      <c r="F107" s="109" t="str">
        <f t="shared" si="11"/>
        <v>C30</v>
      </c>
      <c r="G107" s="107" t="str">
        <f t="shared" si="12"/>
        <v>上戸幸次</v>
      </c>
      <c r="H107" s="108" t="s">
        <v>919</v>
      </c>
      <c r="I107" s="108" t="s">
        <v>1214</v>
      </c>
      <c r="J107" s="121">
        <v>1963</v>
      </c>
      <c r="K107" s="119">
        <f t="shared" si="14"/>
        <v>53</v>
      </c>
      <c r="L107" s="109" t="str">
        <f t="shared" si="13"/>
        <v>OK</v>
      </c>
      <c r="M107" s="149" t="s">
        <v>827</v>
      </c>
    </row>
    <row r="108" spans="1:13" s="106" customFormat="1" ht="13.5">
      <c r="A108" s="107" t="s">
        <v>986</v>
      </c>
      <c r="B108" s="156" t="s">
        <v>936</v>
      </c>
      <c r="C108" s="156" t="s">
        <v>937</v>
      </c>
      <c r="D108" s="108" t="s">
        <v>1216</v>
      </c>
      <c r="E108" s="107"/>
      <c r="F108" s="109" t="str">
        <f t="shared" si="11"/>
        <v>C31</v>
      </c>
      <c r="G108" s="107" t="str">
        <f t="shared" si="12"/>
        <v>山崎茂智</v>
      </c>
      <c r="H108" s="108" t="s">
        <v>919</v>
      </c>
      <c r="I108" s="108" t="s">
        <v>1214</v>
      </c>
      <c r="J108" s="121">
        <v>1963</v>
      </c>
      <c r="K108" s="119">
        <f t="shared" si="14"/>
        <v>53</v>
      </c>
      <c r="L108" s="109" t="str">
        <f t="shared" si="13"/>
        <v>OK</v>
      </c>
      <c r="M108" s="149" t="s">
        <v>826</v>
      </c>
    </row>
    <row r="109" spans="1:13" s="106" customFormat="1" ht="13.5">
      <c r="A109" s="107" t="s">
        <v>988</v>
      </c>
      <c r="B109" s="156" t="s">
        <v>938</v>
      </c>
      <c r="C109" s="156" t="s">
        <v>939</v>
      </c>
      <c r="D109" s="108" t="s">
        <v>1216</v>
      </c>
      <c r="E109" s="107"/>
      <c r="F109" s="109" t="str">
        <f t="shared" si="11"/>
        <v>C32</v>
      </c>
      <c r="G109" s="107" t="str">
        <f t="shared" si="12"/>
        <v>秋山太助</v>
      </c>
      <c r="H109" s="108" t="s">
        <v>919</v>
      </c>
      <c r="I109" s="108" t="s">
        <v>1214</v>
      </c>
      <c r="J109" s="121">
        <v>1975</v>
      </c>
      <c r="K109" s="119">
        <f t="shared" si="14"/>
        <v>41</v>
      </c>
      <c r="L109" s="109" t="str">
        <f t="shared" si="13"/>
        <v>OK</v>
      </c>
      <c r="M109" s="148" t="s">
        <v>830</v>
      </c>
    </row>
    <row r="110" spans="1:13" s="106" customFormat="1" ht="13.5">
      <c r="A110" s="107" t="s">
        <v>991</v>
      </c>
      <c r="B110" s="156" t="s">
        <v>941</v>
      </c>
      <c r="C110" s="156" t="s">
        <v>942</v>
      </c>
      <c r="D110" s="108" t="s">
        <v>1216</v>
      </c>
      <c r="E110" s="107"/>
      <c r="F110" s="109" t="str">
        <f t="shared" si="11"/>
        <v>C33</v>
      </c>
      <c r="G110" s="107" t="str">
        <f t="shared" si="12"/>
        <v>廣瀬智也</v>
      </c>
      <c r="H110" s="108" t="s">
        <v>919</v>
      </c>
      <c r="I110" s="108" t="s">
        <v>1214</v>
      </c>
      <c r="J110" s="121">
        <v>1977</v>
      </c>
      <c r="K110" s="119">
        <f t="shared" si="14"/>
        <v>39</v>
      </c>
      <c r="L110" s="109" t="str">
        <f aca="true" t="shared" si="15" ref="L110:L145">IF(G110="","",IF(COUNTIF($G$24:$G$617,G110)&gt;1,"2重登録","OK"))</f>
        <v>OK</v>
      </c>
      <c r="M110" s="148" t="s">
        <v>830</v>
      </c>
    </row>
    <row r="111" spans="1:13" s="106" customFormat="1" ht="13.5">
      <c r="A111" s="107" t="s">
        <v>994</v>
      </c>
      <c r="B111" s="156" t="s">
        <v>944</v>
      </c>
      <c r="C111" s="156" t="s">
        <v>945</v>
      </c>
      <c r="D111" s="108" t="s">
        <v>1216</v>
      </c>
      <c r="E111" s="107"/>
      <c r="F111" s="109" t="str">
        <f t="shared" si="11"/>
        <v>C34</v>
      </c>
      <c r="G111" s="107" t="str">
        <f t="shared" si="12"/>
        <v>玉川敬三</v>
      </c>
      <c r="H111" s="108" t="s">
        <v>919</v>
      </c>
      <c r="I111" s="108" t="s">
        <v>1214</v>
      </c>
      <c r="J111" s="121">
        <v>1969</v>
      </c>
      <c r="K111" s="119">
        <f t="shared" si="14"/>
        <v>47</v>
      </c>
      <c r="L111" s="109" t="str">
        <f t="shared" si="15"/>
        <v>OK</v>
      </c>
      <c r="M111" s="148" t="s">
        <v>830</v>
      </c>
    </row>
    <row r="112" spans="1:13" s="106" customFormat="1" ht="13.5">
      <c r="A112" s="107" t="s">
        <v>997</v>
      </c>
      <c r="B112" s="156" t="s">
        <v>947</v>
      </c>
      <c r="C112" s="156" t="s">
        <v>948</v>
      </c>
      <c r="D112" s="108" t="s">
        <v>1216</v>
      </c>
      <c r="E112" s="107"/>
      <c r="F112" s="109" t="str">
        <f t="shared" si="11"/>
        <v>C35</v>
      </c>
      <c r="G112" s="107" t="str">
        <f t="shared" si="12"/>
        <v>太田圭亮</v>
      </c>
      <c r="H112" s="108" t="s">
        <v>919</v>
      </c>
      <c r="I112" s="108" t="s">
        <v>1214</v>
      </c>
      <c r="J112" s="121">
        <v>1981</v>
      </c>
      <c r="K112" s="119">
        <f t="shared" si="14"/>
        <v>35</v>
      </c>
      <c r="L112" s="109" t="str">
        <f t="shared" si="15"/>
        <v>OK</v>
      </c>
      <c r="M112" s="148" t="s">
        <v>830</v>
      </c>
    </row>
    <row r="113" spans="1:13" s="106" customFormat="1" ht="13.5">
      <c r="A113" s="107" t="s">
        <v>1000</v>
      </c>
      <c r="B113" s="156" t="s">
        <v>950</v>
      </c>
      <c r="C113" s="156" t="s">
        <v>951</v>
      </c>
      <c r="D113" s="108" t="s">
        <v>1216</v>
      </c>
      <c r="E113" s="107"/>
      <c r="F113" s="109" t="str">
        <f t="shared" si="11"/>
        <v>C36</v>
      </c>
      <c r="G113" s="107" t="str">
        <f t="shared" si="12"/>
        <v>園田智明</v>
      </c>
      <c r="H113" s="108" t="s">
        <v>919</v>
      </c>
      <c r="I113" s="108" t="s">
        <v>1214</v>
      </c>
      <c r="J113" s="121">
        <v>1967</v>
      </c>
      <c r="K113" s="119">
        <f t="shared" si="14"/>
        <v>49</v>
      </c>
      <c r="L113" s="109" t="str">
        <f t="shared" si="15"/>
        <v>OK</v>
      </c>
      <c r="M113" s="149" t="s">
        <v>825</v>
      </c>
    </row>
    <row r="114" spans="1:13" s="106" customFormat="1" ht="13.5">
      <c r="A114" s="107" t="s">
        <v>1003</v>
      </c>
      <c r="B114" s="156" t="s">
        <v>964</v>
      </c>
      <c r="C114" s="156" t="s">
        <v>965</v>
      </c>
      <c r="D114" s="108" t="s">
        <v>1216</v>
      </c>
      <c r="E114" s="107"/>
      <c r="F114" s="109" t="str">
        <f t="shared" si="11"/>
        <v>C37</v>
      </c>
      <c r="G114" s="107" t="str">
        <f t="shared" si="12"/>
        <v>馬場英年</v>
      </c>
      <c r="H114" s="108" t="s">
        <v>919</v>
      </c>
      <c r="I114" s="108" t="s">
        <v>1214</v>
      </c>
      <c r="J114" s="121">
        <v>1980</v>
      </c>
      <c r="K114" s="119">
        <f t="shared" si="14"/>
        <v>36</v>
      </c>
      <c r="L114" s="109" t="str">
        <f t="shared" si="15"/>
        <v>OK</v>
      </c>
      <c r="M114" s="148" t="s">
        <v>830</v>
      </c>
    </row>
    <row r="115" spans="1:13" s="235" customFormat="1" ht="13.5">
      <c r="A115" s="107" t="s">
        <v>1004</v>
      </c>
      <c r="B115" s="156" t="s">
        <v>1326</v>
      </c>
      <c r="C115" s="111" t="s">
        <v>1493</v>
      </c>
      <c r="D115" s="108" t="s">
        <v>1216</v>
      </c>
      <c r="E115" s="107"/>
      <c r="F115" s="109" t="s">
        <v>1494</v>
      </c>
      <c r="G115" s="107" t="s">
        <v>1495</v>
      </c>
      <c r="H115" s="108" t="s">
        <v>919</v>
      </c>
      <c r="I115" s="108" t="s">
        <v>1214</v>
      </c>
      <c r="J115" s="121">
        <v>1993</v>
      </c>
      <c r="K115" s="119">
        <f t="shared" si="14"/>
        <v>23</v>
      </c>
      <c r="L115" s="109" t="str">
        <f t="shared" si="15"/>
        <v>OK</v>
      </c>
      <c r="M115" s="148" t="s">
        <v>1350</v>
      </c>
    </row>
    <row r="116" spans="1:13" s="106" customFormat="1" ht="13.5">
      <c r="A116" s="107" t="s">
        <v>1005</v>
      </c>
      <c r="B116" s="111" t="s">
        <v>875</v>
      </c>
      <c r="C116" s="111" t="s">
        <v>874</v>
      </c>
      <c r="D116" s="108" t="s">
        <v>1216</v>
      </c>
      <c r="E116" s="107"/>
      <c r="F116" s="109" t="str">
        <f t="shared" si="11"/>
        <v>C39</v>
      </c>
      <c r="G116" s="107" t="str">
        <f t="shared" si="12"/>
        <v>田中正行</v>
      </c>
      <c r="H116" s="108" t="s">
        <v>919</v>
      </c>
      <c r="I116" s="108" t="s">
        <v>1214</v>
      </c>
      <c r="J116" s="121">
        <v>1980</v>
      </c>
      <c r="K116" s="119">
        <f t="shared" si="14"/>
        <v>36</v>
      </c>
      <c r="L116" s="109" t="str">
        <f t="shared" si="15"/>
        <v>OK</v>
      </c>
      <c r="M116" s="149" t="s">
        <v>825</v>
      </c>
    </row>
    <row r="117" spans="1:13" s="106" customFormat="1" ht="13.5">
      <c r="A117" s="107" t="s">
        <v>1008</v>
      </c>
      <c r="B117" s="107" t="s">
        <v>1248</v>
      </c>
      <c r="C117" s="107" t="s">
        <v>1450</v>
      </c>
      <c r="D117" s="108" t="s">
        <v>1216</v>
      </c>
      <c r="E117" s="107"/>
      <c r="F117" s="109" t="str">
        <f t="shared" si="11"/>
        <v>C40</v>
      </c>
      <c r="G117" s="107" t="str">
        <f t="shared" si="12"/>
        <v>田中精一</v>
      </c>
      <c r="H117" s="108" t="s">
        <v>919</v>
      </c>
      <c r="I117" s="108" t="s">
        <v>1214</v>
      </c>
      <c r="J117" s="121">
        <v>1974</v>
      </c>
      <c r="K117" s="119">
        <f t="shared" si="14"/>
        <v>42</v>
      </c>
      <c r="L117" s="109" t="str">
        <f t="shared" si="15"/>
        <v>OK</v>
      </c>
      <c r="M117" s="195" t="s">
        <v>825</v>
      </c>
    </row>
    <row r="118" spans="1:13" s="106" customFormat="1" ht="13.5">
      <c r="A118" s="107" t="s">
        <v>1011</v>
      </c>
      <c r="B118" s="107" t="s">
        <v>1451</v>
      </c>
      <c r="C118" s="107" t="s">
        <v>673</v>
      </c>
      <c r="D118" s="108" t="s">
        <v>1216</v>
      </c>
      <c r="E118" s="107"/>
      <c r="F118" s="109" t="str">
        <f>A118</f>
        <v>C41</v>
      </c>
      <c r="G118" s="107" t="str">
        <f>B118&amp;C118</f>
        <v>光岡 翼</v>
      </c>
      <c r="H118" s="108" t="s">
        <v>919</v>
      </c>
      <c r="I118" s="108" t="s">
        <v>1214</v>
      </c>
      <c r="J118" s="121">
        <v>1988</v>
      </c>
      <c r="K118" s="119">
        <f t="shared" si="14"/>
        <v>28</v>
      </c>
      <c r="L118" s="109" t="str">
        <f t="shared" si="15"/>
        <v>OK</v>
      </c>
      <c r="M118" s="148" t="s">
        <v>830</v>
      </c>
    </row>
    <row r="119" spans="1:13" s="106" customFormat="1" ht="13.5">
      <c r="A119" s="107" t="s">
        <v>1014</v>
      </c>
      <c r="B119" s="107" t="s">
        <v>1404</v>
      </c>
      <c r="C119" s="107" t="s">
        <v>1452</v>
      </c>
      <c r="D119" s="108" t="s">
        <v>1216</v>
      </c>
      <c r="E119" s="107"/>
      <c r="F119" s="109" t="str">
        <f>A119</f>
        <v>C42</v>
      </c>
      <c r="G119" s="107" t="str">
        <f>B119&amp;C119</f>
        <v>神山孝行</v>
      </c>
      <c r="H119" s="108" t="s">
        <v>919</v>
      </c>
      <c r="I119" s="108" t="s">
        <v>1214</v>
      </c>
      <c r="J119" s="121">
        <v>1984</v>
      </c>
      <c r="K119" s="119">
        <f t="shared" si="14"/>
        <v>32</v>
      </c>
      <c r="L119" s="109" t="str">
        <f t="shared" si="15"/>
        <v>OK</v>
      </c>
      <c r="M119" s="148" t="s">
        <v>830</v>
      </c>
    </row>
    <row r="120" spans="1:13" s="106" customFormat="1" ht="13.5">
      <c r="A120" s="107" t="s">
        <v>1017</v>
      </c>
      <c r="B120" s="156" t="s">
        <v>975</v>
      </c>
      <c r="C120" s="111" t="s">
        <v>976</v>
      </c>
      <c r="D120" s="108" t="s">
        <v>1216</v>
      </c>
      <c r="E120" s="107"/>
      <c r="F120" s="109" t="str">
        <f aca="true" t="shared" si="16" ref="F120:F132">A120</f>
        <v>C43</v>
      </c>
      <c r="G120" s="107" t="str">
        <f aca="true" t="shared" si="17" ref="G120:G132">B120&amp;C120</f>
        <v>湯本芳明</v>
      </c>
      <c r="H120" s="108" t="s">
        <v>919</v>
      </c>
      <c r="I120" s="108" t="s">
        <v>1214</v>
      </c>
      <c r="J120" s="121">
        <v>1952</v>
      </c>
      <c r="K120" s="119">
        <f t="shared" si="14"/>
        <v>64</v>
      </c>
      <c r="L120" s="109" t="str">
        <f t="shared" si="15"/>
        <v>OK</v>
      </c>
      <c r="M120" s="149" t="s">
        <v>825</v>
      </c>
    </row>
    <row r="121" spans="1:13" s="106" customFormat="1" ht="13.5">
      <c r="A121" s="107" t="s">
        <v>1563</v>
      </c>
      <c r="B121" s="156" t="s">
        <v>1006</v>
      </c>
      <c r="C121" s="111" t="s">
        <v>1007</v>
      </c>
      <c r="D121" s="108" t="s">
        <v>1216</v>
      </c>
      <c r="E121" s="107"/>
      <c r="F121" s="109" t="str">
        <f t="shared" si="16"/>
        <v>C44</v>
      </c>
      <c r="G121" s="107" t="str">
        <f t="shared" si="17"/>
        <v>高橋雄祐</v>
      </c>
      <c r="H121" s="108" t="s">
        <v>919</v>
      </c>
      <c r="I121" s="108" t="s">
        <v>1214</v>
      </c>
      <c r="J121" s="121">
        <v>1985</v>
      </c>
      <c r="K121" s="119">
        <f t="shared" si="14"/>
        <v>31</v>
      </c>
      <c r="L121" s="109" t="str">
        <f t="shared" si="15"/>
        <v>OK</v>
      </c>
      <c r="M121" s="149" t="s">
        <v>829</v>
      </c>
    </row>
    <row r="122" spans="1:13" s="106" customFormat="1" ht="13.5">
      <c r="A122" s="107" t="s">
        <v>1020</v>
      </c>
      <c r="B122" s="156" t="s">
        <v>1009</v>
      </c>
      <c r="C122" s="111" t="s">
        <v>1010</v>
      </c>
      <c r="D122" s="108" t="s">
        <v>1216</v>
      </c>
      <c r="E122" s="107"/>
      <c r="F122" s="109" t="str">
        <f t="shared" si="16"/>
        <v>C45</v>
      </c>
      <c r="G122" s="107" t="str">
        <f t="shared" si="17"/>
        <v>吉本泰二</v>
      </c>
      <c r="H122" s="108" t="s">
        <v>919</v>
      </c>
      <c r="I122" s="108" t="s">
        <v>1214</v>
      </c>
      <c r="J122" s="121">
        <v>1976</v>
      </c>
      <c r="K122" s="119">
        <f t="shared" si="14"/>
        <v>40</v>
      </c>
      <c r="L122" s="109" t="str">
        <f t="shared" si="15"/>
        <v>OK</v>
      </c>
      <c r="M122" s="148" t="s">
        <v>830</v>
      </c>
    </row>
    <row r="123" spans="1:13" s="106" customFormat="1" ht="13.5">
      <c r="A123" s="107" t="s">
        <v>1021</v>
      </c>
      <c r="B123" s="158" t="s">
        <v>1028</v>
      </c>
      <c r="C123" s="158" t="s">
        <v>1029</v>
      </c>
      <c r="D123" s="108" t="s">
        <v>1216</v>
      </c>
      <c r="E123" s="107"/>
      <c r="F123" s="109" t="str">
        <f t="shared" si="16"/>
        <v>C46</v>
      </c>
      <c r="G123" s="107" t="str">
        <f t="shared" si="17"/>
        <v>坂居優介</v>
      </c>
      <c r="H123" s="108" t="s">
        <v>919</v>
      </c>
      <c r="I123" s="108" t="s">
        <v>1214</v>
      </c>
      <c r="J123" s="121">
        <v>1982</v>
      </c>
      <c r="K123" s="119">
        <f t="shared" si="14"/>
        <v>34</v>
      </c>
      <c r="L123" s="109" t="str">
        <f t="shared" si="15"/>
        <v>OK</v>
      </c>
      <c r="M123" s="149" t="s">
        <v>829</v>
      </c>
    </row>
    <row r="124" spans="1:13" s="106" customFormat="1" ht="13.5">
      <c r="A124" s="107" t="s">
        <v>1024</v>
      </c>
      <c r="B124" s="114" t="s">
        <v>1327</v>
      </c>
      <c r="C124" s="114" t="s">
        <v>1328</v>
      </c>
      <c r="D124" s="108" t="s">
        <v>1216</v>
      </c>
      <c r="E124" s="107"/>
      <c r="F124" s="109" t="str">
        <f t="shared" si="16"/>
        <v>C47</v>
      </c>
      <c r="G124" s="108" t="str">
        <f t="shared" si="17"/>
        <v>浅田亜祐子</v>
      </c>
      <c r="H124" s="108" t="s">
        <v>919</v>
      </c>
      <c r="I124" s="113" t="s">
        <v>1329</v>
      </c>
      <c r="J124" s="121">
        <v>1984</v>
      </c>
      <c r="K124" s="119">
        <f t="shared" si="14"/>
        <v>32</v>
      </c>
      <c r="L124" s="109" t="str">
        <f t="shared" si="15"/>
        <v>OK</v>
      </c>
      <c r="M124" s="149" t="s">
        <v>1322</v>
      </c>
    </row>
    <row r="125" spans="1:13" s="106" customFormat="1" ht="13.5">
      <c r="A125" s="107" t="s">
        <v>1025</v>
      </c>
      <c r="B125" s="156" t="s">
        <v>1453</v>
      </c>
      <c r="C125" s="156" t="s">
        <v>1496</v>
      </c>
      <c r="D125" s="108" t="s">
        <v>1216</v>
      </c>
      <c r="E125" s="107"/>
      <c r="F125" s="109" t="str">
        <f t="shared" si="16"/>
        <v>C48</v>
      </c>
      <c r="G125" s="108" t="str">
        <f t="shared" si="17"/>
        <v>赤木 拓</v>
      </c>
      <c r="H125" s="108" t="s">
        <v>919</v>
      </c>
      <c r="I125" s="108" t="s">
        <v>1214</v>
      </c>
      <c r="J125" s="121">
        <v>1980</v>
      </c>
      <c r="K125" s="119">
        <f t="shared" si="14"/>
        <v>36</v>
      </c>
      <c r="L125" s="109" t="str">
        <f t="shared" si="15"/>
        <v>OK</v>
      </c>
      <c r="M125" s="149" t="s">
        <v>825</v>
      </c>
    </row>
    <row r="126" spans="1:13" s="106" customFormat="1" ht="13.5">
      <c r="A126" s="107" t="s">
        <v>1564</v>
      </c>
      <c r="B126" s="156" t="s">
        <v>992</v>
      </c>
      <c r="C126" s="111" t="s">
        <v>993</v>
      </c>
      <c r="D126" s="108" t="s">
        <v>1216</v>
      </c>
      <c r="E126" s="107"/>
      <c r="F126" s="109" t="str">
        <f t="shared" si="16"/>
        <v>C49</v>
      </c>
      <c r="G126" s="108" t="str">
        <f t="shared" si="17"/>
        <v>住谷岳司</v>
      </c>
      <c r="H126" s="108" t="s">
        <v>919</v>
      </c>
      <c r="I126" s="108" t="s">
        <v>1214</v>
      </c>
      <c r="J126" s="121">
        <v>1967</v>
      </c>
      <c r="K126" s="119">
        <f t="shared" si="14"/>
        <v>49</v>
      </c>
      <c r="L126" s="109" t="str">
        <f t="shared" si="15"/>
        <v>OK</v>
      </c>
      <c r="M126" s="149" t="s">
        <v>1357</v>
      </c>
    </row>
    <row r="127" spans="1:15" s="106" customFormat="1" ht="13.5">
      <c r="A127" s="107" t="s">
        <v>1030</v>
      </c>
      <c r="B127" s="156" t="s">
        <v>995</v>
      </c>
      <c r="C127" s="111" t="s">
        <v>996</v>
      </c>
      <c r="D127" s="108" t="s">
        <v>1216</v>
      </c>
      <c r="E127" s="107"/>
      <c r="F127" s="109" t="str">
        <f t="shared" si="16"/>
        <v>C50</v>
      </c>
      <c r="G127" s="108" t="str">
        <f t="shared" si="17"/>
        <v>永田寛教</v>
      </c>
      <c r="H127" s="108" t="s">
        <v>919</v>
      </c>
      <c r="I127" s="108" t="s">
        <v>1214</v>
      </c>
      <c r="J127" s="121">
        <v>1981</v>
      </c>
      <c r="K127" s="119">
        <f t="shared" si="14"/>
        <v>35</v>
      </c>
      <c r="L127" s="109" t="str">
        <f t="shared" si="15"/>
        <v>OK</v>
      </c>
      <c r="M127" s="149" t="s">
        <v>829</v>
      </c>
      <c r="O127" s="124"/>
    </row>
    <row r="128" spans="1:15" s="106" customFormat="1" ht="13.5">
      <c r="A128" s="107" t="s">
        <v>1454</v>
      </c>
      <c r="B128" s="194" t="s">
        <v>1455</v>
      </c>
      <c r="C128" s="194" t="s">
        <v>1035</v>
      </c>
      <c r="D128" s="108" t="s">
        <v>1639</v>
      </c>
      <c r="E128" s="107"/>
      <c r="F128" s="109" t="str">
        <f t="shared" si="16"/>
        <v>C51</v>
      </c>
      <c r="G128" s="108" t="str">
        <f t="shared" si="17"/>
        <v>松島理和</v>
      </c>
      <c r="H128" s="108" t="s">
        <v>919</v>
      </c>
      <c r="I128" s="108" t="s">
        <v>1214</v>
      </c>
      <c r="J128" s="121">
        <v>1981</v>
      </c>
      <c r="K128" s="119">
        <f t="shared" si="14"/>
        <v>35</v>
      </c>
      <c r="L128" s="109" t="str">
        <f t="shared" si="15"/>
        <v>OK</v>
      </c>
      <c r="M128" s="149" t="s">
        <v>824</v>
      </c>
      <c r="O128" s="124"/>
    </row>
    <row r="129" spans="1:15" s="149" customFormat="1" ht="13.5">
      <c r="A129" s="107" t="s">
        <v>1640</v>
      </c>
      <c r="B129" s="194" t="s">
        <v>1018</v>
      </c>
      <c r="C129" s="194" t="s">
        <v>1019</v>
      </c>
      <c r="D129" s="108" t="s">
        <v>1639</v>
      </c>
      <c r="E129" s="107"/>
      <c r="F129" s="109" t="str">
        <f t="shared" si="16"/>
        <v>C52</v>
      </c>
      <c r="G129" s="108" t="str">
        <f t="shared" si="17"/>
        <v>曽我卓矢</v>
      </c>
      <c r="H129" s="108" t="s">
        <v>919</v>
      </c>
      <c r="I129" s="108" t="s">
        <v>1214</v>
      </c>
      <c r="J129" s="121">
        <v>1986</v>
      </c>
      <c r="K129" s="119">
        <f t="shared" si="14"/>
        <v>30</v>
      </c>
      <c r="L129" s="109" t="str">
        <f t="shared" si="15"/>
        <v>OK</v>
      </c>
      <c r="M129" s="149" t="s">
        <v>825</v>
      </c>
      <c r="N129" s="106"/>
      <c r="O129" s="124"/>
    </row>
    <row r="130" spans="1:15" s="149" customFormat="1" ht="13.5">
      <c r="A130" s="107" t="s">
        <v>1456</v>
      </c>
      <c r="B130" s="114" t="s">
        <v>1457</v>
      </c>
      <c r="C130" s="114" t="s">
        <v>1458</v>
      </c>
      <c r="D130" s="108" t="s">
        <v>1565</v>
      </c>
      <c r="E130" s="107"/>
      <c r="F130" s="109" t="str">
        <f t="shared" si="16"/>
        <v>C53</v>
      </c>
      <c r="G130" s="220" t="str">
        <f t="shared" si="17"/>
        <v>大鳥有希子</v>
      </c>
      <c r="H130" s="108" t="s">
        <v>919</v>
      </c>
      <c r="I130" s="113" t="s">
        <v>1641</v>
      </c>
      <c r="J130" s="121">
        <v>1988</v>
      </c>
      <c r="K130" s="119">
        <f t="shared" si="14"/>
        <v>28</v>
      </c>
      <c r="L130" s="109" t="str">
        <f t="shared" si="15"/>
        <v>OK</v>
      </c>
      <c r="M130" s="149" t="s">
        <v>1497</v>
      </c>
      <c r="N130" s="106"/>
      <c r="O130" s="124"/>
    </row>
    <row r="131" spans="1:15" s="149" customFormat="1" ht="13.5">
      <c r="A131" s="107" t="s">
        <v>1459</v>
      </c>
      <c r="B131" s="124" t="s">
        <v>923</v>
      </c>
      <c r="C131" s="124" t="s">
        <v>924</v>
      </c>
      <c r="D131" s="108" t="s">
        <v>1566</v>
      </c>
      <c r="E131" s="124"/>
      <c r="F131" s="109" t="str">
        <f t="shared" si="16"/>
        <v>C54</v>
      </c>
      <c r="G131" s="107" t="str">
        <f t="shared" si="17"/>
        <v>竹村仁志</v>
      </c>
      <c r="H131" s="108" t="s">
        <v>919</v>
      </c>
      <c r="I131" s="108" t="s">
        <v>1214</v>
      </c>
      <c r="J131" s="121">
        <v>1962</v>
      </c>
      <c r="K131" s="119">
        <f t="shared" si="14"/>
        <v>54</v>
      </c>
      <c r="L131" s="109" t="str">
        <f t="shared" si="15"/>
        <v>OK</v>
      </c>
      <c r="M131" s="107" t="s">
        <v>1460</v>
      </c>
      <c r="N131" s="106"/>
      <c r="O131" s="124"/>
    </row>
    <row r="132" spans="1:14" s="237" customFormat="1" ht="13.5">
      <c r="A132" s="107" t="s">
        <v>1494</v>
      </c>
      <c r="B132" s="108" t="s">
        <v>1498</v>
      </c>
      <c r="C132" s="108" t="s">
        <v>1499</v>
      </c>
      <c r="D132" s="108" t="s">
        <v>1639</v>
      </c>
      <c r="E132" s="107"/>
      <c r="F132" s="109" t="str">
        <f t="shared" si="16"/>
        <v>C55</v>
      </c>
      <c r="G132" s="107" t="str">
        <f t="shared" si="17"/>
        <v>澤田啓一</v>
      </c>
      <c r="H132" s="108" t="s">
        <v>919</v>
      </c>
      <c r="I132" s="108" t="s">
        <v>1214</v>
      </c>
      <c r="J132" s="121">
        <v>1970</v>
      </c>
      <c r="K132" s="119">
        <f t="shared" si="14"/>
        <v>46</v>
      </c>
      <c r="L132" s="109" t="str">
        <f t="shared" si="15"/>
        <v>OK</v>
      </c>
      <c r="M132" s="107" t="s">
        <v>829</v>
      </c>
      <c r="N132" s="236"/>
    </row>
    <row r="133" spans="1:14" s="237" customFormat="1" ht="13.5">
      <c r="A133" s="107" t="s">
        <v>1500</v>
      </c>
      <c r="B133" s="108" t="s">
        <v>1501</v>
      </c>
      <c r="C133" s="108" t="s">
        <v>1502</v>
      </c>
      <c r="D133" s="108" t="s">
        <v>1639</v>
      </c>
      <c r="E133" s="107"/>
      <c r="F133" s="109" t="str">
        <f>A133</f>
        <v>C56</v>
      </c>
      <c r="G133" s="107" t="str">
        <f>B133&amp;C133</f>
        <v>西岡庸介</v>
      </c>
      <c r="H133" s="108" t="s">
        <v>919</v>
      </c>
      <c r="I133" s="108" t="s">
        <v>1214</v>
      </c>
      <c r="J133" s="121">
        <v>1983</v>
      </c>
      <c r="K133" s="119">
        <f t="shared" si="14"/>
        <v>33</v>
      </c>
      <c r="L133" s="109" t="str">
        <f t="shared" si="15"/>
        <v>OK</v>
      </c>
      <c r="M133" s="107" t="s">
        <v>1503</v>
      </c>
      <c r="N133" s="236"/>
    </row>
    <row r="134" spans="1:14" s="237" customFormat="1" ht="13.5">
      <c r="A134" s="107"/>
      <c r="C134" s="108"/>
      <c r="D134" s="108"/>
      <c r="E134" s="107"/>
      <c r="F134" s="109"/>
      <c r="G134" s="107"/>
      <c r="H134" s="108"/>
      <c r="I134" s="108"/>
      <c r="K134" s="119"/>
      <c r="L134" s="109">
        <f t="shared" si="15"/>
      </c>
      <c r="N134" s="236"/>
    </row>
    <row r="135" spans="1:13" s="106" customFormat="1" ht="13.5">
      <c r="A135" s="107"/>
      <c r="B135" s="114"/>
      <c r="C135" s="114"/>
      <c r="D135" s="108"/>
      <c r="E135" s="107"/>
      <c r="F135" s="109"/>
      <c r="G135" s="113"/>
      <c r="H135" s="108"/>
      <c r="I135" s="108"/>
      <c r="J135" s="121"/>
      <c r="K135" s="119"/>
      <c r="L135" s="109">
        <f t="shared" si="15"/>
      </c>
      <c r="M135" s="149"/>
    </row>
    <row r="136" spans="1:13" s="106" customFormat="1" ht="13.5">
      <c r="A136" s="107"/>
      <c r="B136" s="114"/>
      <c r="C136" s="114"/>
      <c r="D136" s="108"/>
      <c r="E136" s="107"/>
      <c r="F136" s="109"/>
      <c r="G136" s="113"/>
      <c r="H136" s="108"/>
      <c r="I136" s="108"/>
      <c r="J136" s="121"/>
      <c r="K136" s="119"/>
      <c r="L136" s="109">
        <f t="shared" si="15"/>
      </c>
      <c r="M136" s="149"/>
    </row>
    <row r="137" spans="1:13" s="106" customFormat="1" ht="13.5">
      <c r="A137" s="107"/>
      <c r="B137" s="114"/>
      <c r="C137" s="114"/>
      <c r="D137" s="108"/>
      <c r="E137" s="107"/>
      <c r="F137" s="109"/>
      <c r="G137" s="113"/>
      <c r="H137" s="108"/>
      <c r="I137" s="108"/>
      <c r="J137" s="121"/>
      <c r="K137" s="119"/>
      <c r="L137" s="109">
        <f t="shared" si="15"/>
      </c>
      <c r="M137" s="149"/>
    </row>
    <row r="138" spans="1:13" s="106" customFormat="1" ht="13.5">
      <c r="A138" s="107"/>
      <c r="B138" s="114" t="s">
        <v>1642</v>
      </c>
      <c r="C138" s="114" t="s">
        <v>1643</v>
      </c>
      <c r="D138" s="108"/>
      <c r="E138" s="107"/>
      <c r="F138" s="109"/>
      <c r="G138" s="113"/>
      <c r="H138" s="108"/>
      <c r="I138" s="108"/>
      <c r="J138" s="121"/>
      <c r="K138" s="119"/>
      <c r="L138" s="109">
        <f t="shared" si="15"/>
      </c>
      <c r="M138" s="149"/>
    </row>
    <row r="139" spans="1:13" s="106" customFormat="1" ht="13.5">
      <c r="A139" s="107"/>
      <c r="B139" s="114"/>
      <c r="C139" s="114"/>
      <c r="D139" s="108"/>
      <c r="E139" s="107"/>
      <c r="F139" s="109"/>
      <c r="G139" s="113"/>
      <c r="H139" s="108"/>
      <c r="I139" s="108"/>
      <c r="J139" s="121"/>
      <c r="K139" s="119"/>
      <c r="L139" s="109">
        <f t="shared" si="15"/>
      </c>
      <c r="M139" s="149"/>
    </row>
    <row r="140" spans="1:13" s="106" customFormat="1" ht="13.5">
      <c r="A140" s="107"/>
      <c r="B140" s="114"/>
      <c r="C140" s="114"/>
      <c r="D140" s="108"/>
      <c r="E140" s="107"/>
      <c r="F140" s="109"/>
      <c r="G140" s="113"/>
      <c r="H140" s="108"/>
      <c r="I140" s="108"/>
      <c r="J140" s="121"/>
      <c r="K140" s="119"/>
      <c r="L140" s="109">
        <f t="shared" si="15"/>
      </c>
      <c r="M140" s="149"/>
    </row>
    <row r="141" spans="1:12" s="149" customFormat="1" ht="13.5">
      <c r="A141" s="107"/>
      <c r="B141" s="114"/>
      <c r="C141" s="114"/>
      <c r="D141" s="108"/>
      <c r="E141" s="107"/>
      <c r="F141" s="109"/>
      <c r="G141" s="113"/>
      <c r="H141" s="108"/>
      <c r="I141" s="108"/>
      <c r="J141" s="121"/>
      <c r="K141" s="119"/>
      <c r="L141" s="109">
        <f t="shared" si="15"/>
      </c>
    </row>
    <row r="142" spans="1:12" s="149" customFormat="1" ht="13.5">
      <c r="A142" s="107"/>
      <c r="B142" s="114"/>
      <c r="C142" s="114"/>
      <c r="D142" s="108"/>
      <c r="E142" s="107"/>
      <c r="F142" s="109"/>
      <c r="G142" s="113"/>
      <c r="H142" s="108"/>
      <c r="I142" s="108"/>
      <c r="J142" s="121"/>
      <c r="K142" s="119"/>
      <c r="L142" s="109">
        <f t="shared" si="15"/>
      </c>
    </row>
    <row r="143" spans="1:12" s="149" customFormat="1" ht="13.5">
      <c r="A143" s="107"/>
      <c r="B143" s="114"/>
      <c r="C143" s="114"/>
      <c r="D143" s="108"/>
      <c r="E143" s="107"/>
      <c r="F143" s="109"/>
      <c r="G143" s="113"/>
      <c r="H143" s="108"/>
      <c r="I143" s="108"/>
      <c r="J143" s="121"/>
      <c r="K143" s="119"/>
      <c r="L143" s="109">
        <f t="shared" si="15"/>
      </c>
    </row>
    <row r="144" spans="1:13" s="124" customFormat="1" ht="13.5">
      <c r="A144" s="107"/>
      <c r="B144" s="661" t="s">
        <v>1504</v>
      </c>
      <c r="C144" s="661"/>
      <c r="D144" s="673" t="s">
        <v>1567</v>
      </c>
      <c r="E144" s="673"/>
      <c r="F144" s="673"/>
      <c r="G144" s="673"/>
      <c r="H144" s="673"/>
      <c r="I144" s="107"/>
      <c r="J144" s="118"/>
      <c r="K144" s="118"/>
      <c r="L144" s="109">
        <f t="shared" si="15"/>
      </c>
      <c r="M144" s="107"/>
    </row>
    <row r="145" spans="1:13" s="124" customFormat="1" ht="13.5">
      <c r="A145" s="107"/>
      <c r="B145" s="661"/>
      <c r="C145" s="661"/>
      <c r="D145" s="673"/>
      <c r="E145" s="673"/>
      <c r="F145" s="673"/>
      <c r="G145" s="673"/>
      <c r="H145" s="673"/>
      <c r="I145" s="107"/>
      <c r="J145" s="118"/>
      <c r="K145" s="118"/>
      <c r="L145" s="109">
        <f t="shared" si="15"/>
      </c>
      <c r="M145" s="107"/>
    </row>
    <row r="146" spans="1:18" s="124" customFormat="1" ht="13.5">
      <c r="A146" s="107"/>
      <c r="B146" s="108"/>
      <c r="C146" s="108"/>
      <c r="D146" s="155"/>
      <c r="E146" s="107"/>
      <c r="F146" s="109">
        <f>A146</f>
        <v>0</v>
      </c>
      <c r="G146" s="107" t="s">
        <v>1644</v>
      </c>
      <c r="H146" s="658" t="s">
        <v>1645</v>
      </c>
      <c r="I146" s="658"/>
      <c r="J146" s="658"/>
      <c r="K146" s="109"/>
      <c r="L146" s="109"/>
      <c r="Q146" s="136"/>
      <c r="R146" s="136"/>
    </row>
    <row r="147" spans="2:12" s="124" customFormat="1" ht="13.5">
      <c r="B147" s="654" t="s">
        <v>1646</v>
      </c>
      <c r="C147" s="654"/>
      <c r="D147" s="142" t="s">
        <v>1430</v>
      </c>
      <c r="E147" s="107"/>
      <c r="F147" s="109"/>
      <c r="G147" s="141">
        <f>COUNTIF($M$149:$M$179,"東近江市")</f>
        <v>5</v>
      </c>
      <c r="H147" s="664">
        <f>($G$147/RIGHT($A$178,2))</f>
        <v>0.16666666666666666</v>
      </c>
      <c r="I147" s="664"/>
      <c r="J147" s="664"/>
      <c r="K147" s="109"/>
      <c r="L147" s="109"/>
    </row>
    <row r="148" spans="2:12" s="124" customFormat="1" ht="13.5">
      <c r="B148" s="144" t="s">
        <v>1647</v>
      </c>
      <c r="C148" s="193"/>
      <c r="D148" s="136" t="s">
        <v>1429</v>
      </c>
      <c r="E148" s="136"/>
      <c r="F148" s="136"/>
      <c r="G148" s="141"/>
      <c r="I148" s="192"/>
      <c r="J148" s="192"/>
      <c r="K148" s="109"/>
      <c r="L148" s="109">
        <f aca="true" t="shared" si="18" ref="L148:L178">IF(G148="","",IF(COUNTIF($G$24:$G$617,G148)&gt;1,"2重登録","OK"))</f>
      </c>
    </row>
    <row r="149" spans="1:13" s="124" customFormat="1" ht="13.5">
      <c r="A149" s="107" t="s">
        <v>1648</v>
      </c>
      <c r="B149" s="159" t="s">
        <v>1342</v>
      </c>
      <c r="C149" s="159" t="s">
        <v>1411</v>
      </c>
      <c r="D149" s="144" t="s">
        <v>1568</v>
      </c>
      <c r="E149" s="144" t="s">
        <v>1569</v>
      </c>
      <c r="F149" s="107" t="s">
        <v>1570</v>
      </c>
      <c r="G149" s="107" t="str">
        <f aca="true" t="shared" si="19" ref="G149:G164">B149&amp;C149</f>
        <v>水本佑人</v>
      </c>
      <c r="H149" s="144" t="s">
        <v>1568</v>
      </c>
      <c r="I149" s="107" t="s">
        <v>1214</v>
      </c>
      <c r="J149" s="118">
        <v>1998</v>
      </c>
      <c r="K149" s="119">
        <f>IF(J149="","",(2016-J149))</f>
        <v>18</v>
      </c>
      <c r="L149" s="109" t="str">
        <f t="shared" si="18"/>
        <v>OK</v>
      </c>
      <c r="M149" s="115" t="s">
        <v>827</v>
      </c>
    </row>
    <row r="150" spans="1:13" s="124" customFormat="1" ht="13.5">
      <c r="A150" s="107" t="s">
        <v>1412</v>
      </c>
      <c r="B150" s="159" t="s">
        <v>1330</v>
      </c>
      <c r="C150" s="159" t="s">
        <v>1331</v>
      </c>
      <c r="D150" s="144" t="s">
        <v>1572</v>
      </c>
      <c r="E150" s="144"/>
      <c r="F150" s="144" t="str">
        <f aca="true" t="shared" si="20" ref="F150:F179">A150</f>
        <v>F02</v>
      </c>
      <c r="G150" s="107" t="str">
        <f t="shared" si="19"/>
        <v>大島巧也</v>
      </c>
      <c r="H150" s="144" t="s">
        <v>1572</v>
      </c>
      <c r="I150" s="107" t="s">
        <v>1214</v>
      </c>
      <c r="J150" s="118">
        <v>1989</v>
      </c>
      <c r="K150" s="119">
        <f aca="true" t="shared" si="21" ref="K150:K179">IF(J150="","",(2016-J150))</f>
        <v>27</v>
      </c>
      <c r="L150" s="109" t="str">
        <f t="shared" si="18"/>
        <v>OK</v>
      </c>
      <c r="M150" s="107" t="s">
        <v>1352</v>
      </c>
    </row>
    <row r="151" spans="1:13" s="124" customFormat="1" ht="13.5">
      <c r="A151" s="107" t="s">
        <v>1413</v>
      </c>
      <c r="B151" s="159" t="s">
        <v>1505</v>
      </c>
      <c r="C151" s="160" t="s">
        <v>1506</v>
      </c>
      <c r="D151" s="144" t="s">
        <v>1573</v>
      </c>
      <c r="E151" s="144"/>
      <c r="F151" s="144" t="str">
        <f t="shared" si="20"/>
        <v>F03</v>
      </c>
      <c r="G151" s="107" t="str">
        <f t="shared" si="19"/>
        <v>津田原樹</v>
      </c>
      <c r="H151" s="144" t="s">
        <v>1573</v>
      </c>
      <c r="I151" s="107" t="s">
        <v>1214</v>
      </c>
      <c r="J151" s="118">
        <v>1954</v>
      </c>
      <c r="K151" s="119">
        <f t="shared" si="21"/>
        <v>62</v>
      </c>
      <c r="L151" s="109" t="str">
        <f t="shared" si="18"/>
        <v>OK</v>
      </c>
      <c r="M151" s="107" t="s">
        <v>825</v>
      </c>
    </row>
    <row r="152" spans="1:13" s="124" customFormat="1" ht="13.5">
      <c r="A152" s="107" t="s">
        <v>1414</v>
      </c>
      <c r="B152" s="159" t="s">
        <v>1332</v>
      </c>
      <c r="C152" s="159" t="s">
        <v>1333</v>
      </c>
      <c r="D152" s="144" t="s">
        <v>1568</v>
      </c>
      <c r="E152" s="144"/>
      <c r="F152" s="144" t="str">
        <f t="shared" si="20"/>
        <v>F04</v>
      </c>
      <c r="G152" s="107" t="str">
        <f t="shared" si="19"/>
        <v>土肥将博</v>
      </c>
      <c r="H152" s="144" t="s">
        <v>1568</v>
      </c>
      <c r="I152" s="107" t="s">
        <v>1214</v>
      </c>
      <c r="J152" s="118">
        <v>1964</v>
      </c>
      <c r="K152" s="119">
        <f t="shared" si="21"/>
        <v>52</v>
      </c>
      <c r="L152" s="109" t="str">
        <f t="shared" si="18"/>
        <v>OK</v>
      </c>
      <c r="M152" s="110" t="s">
        <v>825</v>
      </c>
    </row>
    <row r="153" spans="1:13" s="124" customFormat="1" ht="13.5">
      <c r="A153" s="107" t="s">
        <v>1415</v>
      </c>
      <c r="B153" s="159" t="s">
        <v>813</v>
      </c>
      <c r="C153" s="159" t="s">
        <v>1416</v>
      </c>
      <c r="D153" s="144" t="s">
        <v>1573</v>
      </c>
      <c r="E153" s="144"/>
      <c r="F153" s="144" t="str">
        <f t="shared" si="20"/>
        <v>F05</v>
      </c>
      <c r="G153" s="107" t="str">
        <f t="shared" si="19"/>
        <v>奥内栄治</v>
      </c>
      <c r="H153" s="144" t="s">
        <v>1573</v>
      </c>
      <c r="I153" s="107" t="s">
        <v>1214</v>
      </c>
      <c r="J153" s="118">
        <v>1969</v>
      </c>
      <c r="K153" s="119">
        <f t="shared" si="21"/>
        <v>47</v>
      </c>
      <c r="L153" s="109" t="str">
        <f t="shared" si="18"/>
        <v>OK</v>
      </c>
      <c r="M153" s="110" t="s">
        <v>825</v>
      </c>
    </row>
    <row r="154" spans="1:13" s="124" customFormat="1" ht="13.5">
      <c r="A154" s="107" t="s">
        <v>1417</v>
      </c>
      <c r="B154" s="159" t="s">
        <v>1418</v>
      </c>
      <c r="C154" s="159" t="s">
        <v>1461</v>
      </c>
      <c r="D154" s="144" t="s">
        <v>1568</v>
      </c>
      <c r="E154" s="144"/>
      <c r="F154" s="144" t="str">
        <f t="shared" si="20"/>
        <v>F06</v>
      </c>
      <c r="G154" s="107" t="str">
        <f t="shared" si="19"/>
        <v>油利 享</v>
      </c>
      <c r="H154" s="144" t="s">
        <v>1568</v>
      </c>
      <c r="I154" s="107" t="s">
        <v>1305</v>
      </c>
      <c r="J154" s="118">
        <v>1955</v>
      </c>
      <c r="K154" s="119">
        <f t="shared" si="21"/>
        <v>61</v>
      </c>
      <c r="L154" s="109" t="str">
        <f t="shared" si="18"/>
        <v>OK</v>
      </c>
      <c r="M154" s="112" t="s">
        <v>830</v>
      </c>
    </row>
    <row r="155" spans="1:13" s="124" customFormat="1" ht="13.5">
      <c r="A155" s="107" t="s">
        <v>687</v>
      </c>
      <c r="B155" s="159" t="s">
        <v>1334</v>
      </c>
      <c r="C155" s="159" t="s">
        <v>1335</v>
      </c>
      <c r="D155" s="144" t="s">
        <v>1572</v>
      </c>
      <c r="E155" s="144"/>
      <c r="F155" s="144" t="str">
        <f t="shared" si="20"/>
        <v>F07</v>
      </c>
      <c r="G155" s="107" t="str">
        <f t="shared" si="19"/>
        <v>鈴木英夫</v>
      </c>
      <c r="H155" s="144" t="s">
        <v>1572</v>
      </c>
      <c r="I155" s="107" t="s">
        <v>1214</v>
      </c>
      <c r="J155" s="118">
        <v>1955</v>
      </c>
      <c r="K155" s="119">
        <f t="shared" si="21"/>
        <v>61</v>
      </c>
      <c r="L155" s="109" t="str">
        <f t="shared" si="18"/>
        <v>OK</v>
      </c>
      <c r="M155" s="112" t="s">
        <v>830</v>
      </c>
    </row>
    <row r="156" spans="1:13" s="124" customFormat="1" ht="13.5">
      <c r="A156" s="107" t="s">
        <v>688</v>
      </c>
      <c r="B156" s="159" t="s">
        <v>1336</v>
      </c>
      <c r="C156" s="159" t="s">
        <v>1288</v>
      </c>
      <c r="D156" s="144" t="s">
        <v>1572</v>
      </c>
      <c r="E156" s="144"/>
      <c r="F156" s="144" t="str">
        <f t="shared" si="20"/>
        <v>F08</v>
      </c>
      <c r="G156" s="107" t="str">
        <f t="shared" si="19"/>
        <v>長谷出浩</v>
      </c>
      <c r="H156" s="144" t="s">
        <v>1572</v>
      </c>
      <c r="I156" s="107" t="s">
        <v>1214</v>
      </c>
      <c r="J156" s="118">
        <v>1960</v>
      </c>
      <c r="K156" s="119">
        <f t="shared" si="21"/>
        <v>56</v>
      </c>
      <c r="L156" s="109" t="str">
        <f t="shared" si="18"/>
        <v>OK</v>
      </c>
      <c r="M156" s="112" t="s">
        <v>830</v>
      </c>
    </row>
    <row r="157" spans="1:13" s="124" customFormat="1" ht="13.5">
      <c r="A157" s="107" t="s">
        <v>689</v>
      </c>
      <c r="B157" s="159" t="s">
        <v>1337</v>
      </c>
      <c r="C157" s="159" t="s">
        <v>1242</v>
      </c>
      <c r="D157" s="144" t="s">
        <v>1572</v>
      </c>
      <c r="E157" s="144"/>
      <c r="F157" s="144" t="str">
        <f t="shared" si="20"/>
        <v>F09</v>
      </c>
      <c r="G157" s="107" t="str">
        <f t="shared" si="19"/>
        <v>山崎 豊</v>
      </c>
      <c r="H157" s="144" t="s">
        <v>1572</v>
      </c>
      <c r="I157" s="107" t="s">
        <v>1214</v>
      </c>
      <c r="J157" s="118">
        <v>1975</v>
      </c>
      <c r="K157" s="119">
        <f t="shared" si="21"/>
        <v>41</v>
      </c>
      <c r="L157" s="109" t="str">
        <f t="shared" si="18"/>
        <v>OK</v>
      </c>
      <c r="M157" s="112" t="s">
        <v>830</v>
      </c>
    </row>
    <row r="158" spans="1:13" s="124" customFormat="1" ht="13.5">
      <c r="A158" s="107" t="s">
        <v>1574</v>
      </c>
      <c r="B158" s="160" t="s">
        <v>1340</v>
      </c>
      <c r="C158" s="160" t="s">
        <v>1341</v>
      </c>
      <c r="D158" s="144" t="s">
        <v>1568</v>
      </c>
      <c r="E158" s="144"/>
      <c r="F158" s="144" t="str">
        <f t="shared" si="20"/>
        <v>F10</v>
      </c>
      <c r="G158" s="107" t="str">
        <f t="shared" si="19"/>
        <v>三代康成</v>
      </c>
      <c r="H158" s="144" t="s">
        <v>1568</v>
      </c>
      <c r="I158" s="107" t="s">
        <v>1214</v>
      </c>
      <c r="J158" s="118">
        <v>1968</v>
      </c>
      <c r="K158" s="119">
        <f t="shared" si="21"/>
        <v>48</v>
      </c>
      <c r="L158" s="109" t="str">
        <f t="shared" si="18"/>
        <v>OK</v>
      </c>
      <c r="M158" s="110" t="s">
        <v>825</v>
      </c>
    </row>
    <row r="159" spans="1:13" s="124" customFormat="1" ht="13.5">
      <c r="A159" s="107" t="s">
        <v>1575</v>
      </c>
      <c r="B159" s="160" t="s">
        <v>1342</v>
      </c>
      <c r="C159" s="160" t="s">
        <v>1343</v>
      </c>
      <c r="D159" s="144" t="s">
        <v>1568</v>
      </c>
      <c r="E159" s="144"/>
      <c r="F159" s="144" t="str">
        <f t="shared" si="20"/>
        <v>F11</v>
      </c>
      <c r="G159" s="107" t="str">
        <f t="shared" si="19"/>
        <v>水本淳史</v>
      </c>
      <c r="H159" s="144" t="s">
        <v>1568</v>
      </c>
      <c r="I159" s="107" t="s">
        <v>1214</v>
      </c>
      <c r="J159" s="118">
        <v>1970</v>
      </c>
      <c r="K159" s="119">
        <f t="shared" si="21"/>
        <v>46</v>
      </c>
      <c r="L159" s="109" t="str">
        <f t="shared" si="18"/>
        <v>OK</v>
      </c>
      <c r="M159" s="150" t="s">
        <v>827</v>
      </c>
    </row>
    <row r="160" spans="1:20" s="124" customFormat="1" ht="13.5">
      <c r="A160" s="107" t="s">
        <v>690</v>
      </c>
      <c r="B160" s="108" t="s">
        <v>1245</v>
      </c>
      <c r="C160" s="108" t="s">
        <v>1425</v>
      </c>
      <c r="D160" s="107" t="s">
        <v>1573</v>
      </c>
      <c r="E160" s="107"/>
      <c r="F160" s="109" t="str">
        <f t="shared" si="20"/>
        <v>F12</v>
      </c>
      <c r="G160" s="107" t="str">
        <f t="shared" si="19"/>
        <v>山本将義</v>
      </c>
      <c r="H160" s="144" t="s">
        <v>1573</v>
      </c>
      <c r="I160" s="111" t="s">
        <v>1649</v>
      </c>
      <c r="J160" s="121">
        <v>1986</v>
      </c>
      <c r="K160" s="119">
        <f t="shared" si="21"/>
        <v>30</v>
      </c>
      <c r="L160" s="109" t="str">
        <f t="shared" si="18"/>
        <v>OK</v>
      </c>
      <c r="M160" s="110" t="s">
        <v>827</v>
      </c>
      <c r="T160" s="136"/>
    </row>
    <row r="161" spans="1:19" s="124" customFormat="1" ht="13.5">
      <c r="A161" s="107" t="s">
        <v>1650</v>
      </c>
      <c r="B161" s="108" t="s">
        <v>1507</v>
      </c>
      <c r="C161" s="108" t="s">
        <v>1508</v>
      </c>
      <c r="D161" s="144" t="s">
        <v>1572</v>
      </c>
      <c r="E161" s="107"/>
      <c r="F161" s="109" t="str">
        <f t="shared" si="20"/>
        <v>F13</v>
      </c>
      <c r="G161" s="107" t="str">
        <f t="shared" si="19"/>
        <v>大丸和輝</v>
      </c>
      <c r="H161" s="144" t="s">
        <v>1572</v>
      </c>
      <c r="I161" s="111" t="s">
        <v>1252</v>
      </c>
      <c r="J161" s="121">
        <v>1991</v>
      </c>
      <c r="K161" s="119">
        <f t="shared" si="21"/>
        <v>25</v>
      </c>
      <c r="L161" s="109" t="str">
        <f t="shared" si="18"/>
        <v>OK</v>
      </c>
      <c r="M161" s="107" t="s">
        <v>825</v>
      </c>
      <c r="S161" s="136"/>
    </row>
    <row r="162" spans="1:13" s="124" customFormat="1" ht="13.5">
      <c r="A162" s="107" t="s">
        <v>693</v>
      </c>
      <c r="B162" s="159" t="s">
        <v>1287</v>
      </c>
      <c r="C162" s="159" t="s">
        <v>1339</v>
      </c>
      <c r="D162" s="144" t="s">
        <v>1568</v>
      </c>
      <c r="E162" s="144"/>
      <c r="F162" s="144" t="str">
        <f t="shared" si="20"/>
        <v>F14</v>
      </c>
      <c r="G162" s="107" t="str">
        <f t="shared" si="19"/>
        <v>清水善弘</v>
      </c>
      <c r="H162" s="144" t="s">
        <v>1568</v>
      </c>
      <c r="I162" s="107" t="s">
        <v>1214</v>
      </c>
      <c r="J162" s="118">
        <v>1952</v>
      </c>
      <c r="K162" s="119">
        <f t="shared" si="21"/>
        <v>64</v>
      </c>
      <c r="L162" s="109" t="str">
        <f t="shared" si="18"/>
        <v>OK</v>
      </c>
      <c r="M162" s="110" t="s">
        <v>825</v>
      </c>
    </row>
    <row r="163" spans="1:13" s="124" customFormat="1" ht="13.5">
      <c r="A163" s="107" t="s">
        <v>1576</v>
      </c>
      <c r="B163" s="159" t="s">
        <v>1248</v>
      </c>
      <c r="C163" s="159" t="s">
        <v>1338</v>
      </c>
      <c r="D163" s="144" t="s">
        <v>1651</v>
      </c>
      <c r="E163" s="144"/>
      <c r="F163" s="144" t="str">
        <f t="shared" si="20"/>
        <v>F15</v>
      </c>
      <c r="G163" s="107" t="str">
        <f t="shared" si="19"/>
        <v>田中伸一</v>
      </c>
      <c r="H163" s="144" t="s">
        <v>1651</v>
      </c>
      <c r="I163" s="107" t="s">
        <v>1214</v>
      </c>
      <c r="J163" s="118">
        <v>1964</v>
      </c>
      <c r="K163" s="119">
        <f t="shared" si="21"/>
        <v>52</v>
      </c>
      <c r="L163" s="109" t="str">
        <f t="shared" si="18"/>
        <v>OK</v>
      </c>
      <c r="M163" s="110" t="s">
        <v>1320</v>
      </c>
    </row>
    <row r="164" spans="1:20" s="124" customFormat="1" ht="13.5">
      <c r="A164" s="107" t="s">
        <v>694</v>
      </c>
      <c r="B164" s="107" t="s">
        <v>1509</v>
      </c>
      <c r="C164" s="107" t="s">
        <v>1510</v>
      </c>
      <c r="D164" s="107" t="s">
        <v>1568</v>
      </c>
      <c r="E164" s="107"/>
      <c r="F164" s="107" t="str">
        <f t="shared" si="20"/>
        <v>F16</v>
      </c>
      <c r="G164" s="107" t="str">
        <f t="shared" si="19"/>
        <v>脇野佳邦</v>
      </c>
      <c r="H164" s="144" t="s">
        <v>1568</v>
      </c>
      <c r="I164" s="107" t="s">
        <v>1214</v>
      </c>
      <c r="J164" s="118">
        <v>1973</v>
      </c>
      <c r="K164" s="119">
        <f t="shared" si="21"/>
        <v>43</v>
      </c>
      <c r="L164" s="109" t="str">
        <f t="shared" si="18"/>
        <v>OK</v>
      </c>
      <c r="M164" s="107" t="s">
        <v>825</v>
      </c>
      <c r="T164" s="136"/>
    </row>
    <row r="165" spans="1:13" s="124" customFormat="1" ht="13.5">
      <c r="A165" s="107" t="s">
        <v>1577</v>
      </c>
      <c r="B165" s="107" t="s">
        <v>1289</v>
      </c>
      <c r="C165" s="107" t="s">
        <v>1290</v>
      </c>
      <c r="D165" s="107" t="s">
        <v>1651</v>
      </c>
      <c r="E165" s="107"/>
      <c r="F165" s="238" t="str">
        <f t="shared" si="20"/>
        <v>F17</v>
      </c>
      <c r="G165" s="107" t="s">
        <v>1511</v>
      </c>
      <c r="H165" s="144" t="s">
        <v>1578</v>
      </c>
      <c r="I165" s="194" t="s">
        <v>1579</v>
      </c>
      <c r="J165" s="121">
        <v>1971</v>
      </c>
      <c r="K165" s="119">
        <f t="shared" si="21"/>
        <v>45</v>
      </c>
      <c r="L165" s="109" t="str">
        <f t="shared" si="18"/>
        <v>OK</v>
      </c>
      <c r="M165" s="107" t="s">
        <v>1359</v>
      </c>
    </row>
    <row r="166" spans="1:13" s="124" customFormat="1" ht="13.5">
      <c r="A166" s="107" t="s">
        <v>1580</v>
      </c>
      <c r="B166" s="107" t="s">
        <v>1512</v>
      </c>
      <c r="C166" s="107" t="s">
        <v>1286</v>
      </c>
      <c r="D166" s="107" t="s">
        <v>1572</v>
      </c>
      <c r="E166" s="107"/>
      <c r="F166" s="238" t="str">
        <f t="shared" si="20"/>
        <v>F18</v>
      </c>
      <c r="G166" s="107" t="s">
        <v>1513</v>
      </c>
      <c r="H166" s="144" t="s">
        <v>1571</v>
      </c>
      <c r="I166" s="194" t="s">
        <v>821</v>
      </c>
      <c r="J166" s="121">
        <v>1970</v>
      </c>
      <c r="K166" s="119">
        <f t="shared" si="21"/>
        <v>46</v>
      </c>
      <c r="L166" s="109" t="str">
        <f t="shared" si="18"/>
        <v>OK</v>
      </c>
      <c r="M166" s="107" t="s">
        <v>1319</v>
      </c>
    </row>
    <row r="167" spans="1:13" s="124" customFormat="1" ht="13.5">
      <c r="A167" s="231" t="s">
        <v>1652</v>
      </c>
      <c r="B167" s="113" t="s">
        <v>1281</v>
      </c>
      <c r="C167" s="113" t="s">
        <v>1345</v>
      </c>
      <c r="D167" s="144" t="s">
        <v>1573</v>
      </c>
      <c r="E167" s="107"/>
      <c r="F167" s="109" t="str">
        <f t="shared" si="20"/>
        <v>F19</v>
      </c>
      <c r="G167" s="108" t="str">
        <f aca="true" t="shared" si="22" ref="G167:G172">B167&amp;C167</f>
        <v>廣部節恵</v>
      </c>
      <c r="H167" s="144" t="s">
        <v>1573</v>
      </c>
      <c r="I167" s="114" t="s">
        <v>1409</v>
      </c>
      <c r="J167" s="121">
        <v>1961</v>
      </c>
      <c r="K167" s="119">
        <f t="shared" si="21"/>
        <v>55</v>
      </c>
      <c r="L167" s="109" t="str">
        <f t="shared" si="18"/>
        <v>OK</v>
      </c>
      <c r="M167" s="107" t="s">
        <v>827</v>
      </c>
    </row>
    <row r="168" spans="1:13" s="124" customFormat="1" ht="13.5">
      <c r="A168" s="231" t="s">
        <v>1653</v>
      </c>
      <c r="B168" s="113" t="s">
        <v>1295</v>
      </c>
      <c r="C168" s="113" t="s">
        <v>1296</v>
      </c>
      <c r="D168" s="144" t="s">
        <v>1572</v>
      </c>
      <c r="E168" s="107"/>
      <c r="F168" s="109" t="str">
        <f t="shared" si="20"/>
        <v>F20</v>
      </c>
      <c r="G168" s="108" t="str">
        <f t="shared" si="22"/>
        <v>松井美和子</v>
      </c>
      <c r="H168" s="144" t="s">
        <v>1572</v>
      </c>
      <c r="I168" s="114" t="s">
        <v>1409</v>
      </c>
      <c r="J168" s="121">
        <v>1969</v>
      </c>
      <c r="K168" s="119">
        <f t="shared" si="21"/>
        <v>47</v>
      </c>
      <c r="L168" s="109" t="str">
        <f t="shared" si="18"/>
        <v>OK</v>
      </c>
      <c r="M168" s="107" t="s">
        <v>1320</v>
      </c>
    </row>
    <row r="169" spans="1:13" s="124" customFormat="1" ht="13.5">
      <c r="A169" s="231" t="s">
        <v>1654</v>
      </c>
      <c r="B169" s="113" t="s">
        <v>1340</v>
      </c>
      <c r="C169" s="113" t="s">
        <v>1347</v>
      </c>
      <c r="D169" s="144" t="s">
        <v>1573</v>
      </c>
      <c r="E169" s="107"/>
      <c r="F169" s="107" t="str">
        <f t="shared" si="20"/>
        <v>F21</v>
      </c>
      <c r="G169" s="108" t="str">
        <f t="shared" si="22"/>
        <v>三代梨絵</v>
      </c>
      <c r="H169" s="144" t="s">
        <v>1573</v>
      </c>
      <c r="I169" s="114" t="s">
        <v>1409</v>
      </c>
      <c r="J169" s="118">
        <v>1976</v>
      </c>
      <c r="K169" s="119">
        <f t="shared" si="21"/>
        <v>40</v>
      </c>
      <c r="L169" s="109" t="str">
        <f t="shared" si="18"/>
        <v>OK</v>
      </c>
      <c r="M169" s="107" t="s">
        <v>825</v>
      </c>
    </row>
    <row r="170" spans="1:13" s="124" customFormat="1" ht="13.5">
      <c r="A170" s="231" t="s">
        <v>1581</v>
      </c>
      <c r="B170" s="113" t="s">
        <v>1332</v>
      </c>
      <c r="C170" s="113" t="s">
        <v>1348</v>
      </c>
      <c r="D170" s="144" t="s">
        <v>1572</v>
      </c>
      <c r="E170" s="107"/>
      <c r="F170" s="109" t="str">
        <f t="shared" si="20"/>
        <v>F22</v>
      </c>
      <c r="G170" s="108" t="str">
        <f t="shared" si="22"/>
        <v>土肥祐子</v>
      </c>
      <c r="H170" s="144" t="s">
        <v>1572</v>
      </c>
      <c r="I170" s="114" t="s">
        <v>1409</v>
      </c>
      <c r="J170" s="121">
        <v>1971</v>
      </c>
      <c r="K170" s="119">
        <f t="shared" si="21"/>
        <v>45</v>
      </c>
      <c r="L170" s="109" t="str">
        <f t="shared" si="18"/>
        <v>OK</v>
      </c>
      <c r="M170" s="107" t="s">
        <v>825</v>
      </c>
    </row>
    <row r="171" spans="1:13" s="124" customFormat="1" ht="13.5">
      <c r="A171" s="231" t="s">
        <v>1582</v>
      </c>
      <c r="B171" s="112" t="s">
        <v>1361</v>
      </c>
      <c r="C171" s="112" t="s">
        <v>1299</v>
      </c>
      <c r="D171" s="144" t="s">
        <v>1572</v>
      </c>
      <c r="E171" s="107"/>
      <c r="F171" s="109" t="str">
        <f t="shared" si="20"/>
        <v>F23</v>
      </c>
      <c r="G171" s="108" t="str">
        <f t="shared" si="22"/>
        <v>奥村美弥子</v>
      </c>
      <c r="H171" s="144" t="s">
        <v>1572</v>
      </c>
      <c r="I171" s="114" t="s">
        <v>1409</v>
      </c>
      <c r="J171" s="121">
        <v>1977</v>
      </c>
      <c r="K171" s="119">
        <f t="shared" si="21"/>
        <v>39</v>
      </c>
      <c r="L171" s="109" t="str">
        <f t="shared" si="18"/>
        <v>OK</v>
      </c>
      <c r="M171" s="107" t="s">
        <v>1319</v>
      </c>
    </row>
    <row r="172" spans="1:13" s="124" customFormat="1" ht="13.5">
      <c r="A172" s="231" t="s">
        <v>1655</v>
      </c>
      <c r="B172" s="113" t="s">
        <v>1505</v>
      </c>
      <c r="C172" s="113" t="s">
        <v>1514</v>
      </c>
      <c r="D172" s="144" t="s">
        <v>1572</v>
      </c>
      <c r="E172" s="107"/>
      <c r="F172" s="109" t="str">
        <f t="shared" si="20"/>
        <v>F24</v>
      </c>
      <c r="G172" s="108" t="str">
        <f t="shared" si="22"/>
        <v>津田伸子</v>
      </c>
      <c r="H172" s="144" t="s">
        <v>1572</v>
      </c>
      <c r="I172" s="114" t="s">
        <v>1409</v>
      </c>
      <c r="J172" s="121">
        <v>1956</v>
      </c>
      <c r="K172" s="119">
        <f t="shared" si="21"/>
        <v>60</v>
      </c>
      <c r="L172" s="109" t="str">
        <f t="shared" si="18"/>
        <v>OK</v>
      </c>
      <c r="M172" s="107" t="s">
        <v>825</v>
      </c>
    </row>
    <row r="173" spans="1:13" s="124" customFormat="1" ht="13.5">
      <c r="A173" s="231" t="s">
        <v>695</v>
      </c>
      <c r="B173" s="113" t="s">
        <v>1291</v>
      </c>
      <c r="C173" s="113" t="s">
        <v>1656</v>
      </c>
      <c r="D173" s="144" t="s">
        <v>1651</v>
      </c>
      <c r="E173" s="107"/>
      <c r="F173" s="107" t="str">
        <f t="shared" si="20"/>
        <v>F25</v>
      </c>
      <c r="G173" s="108" t="str">
        <f>B173&amp;C173</f>
        <v>岩崎ひとみ</v>
      </c>
      <c r="H173" s="144" t="s">
        <v>1651</v>
      </c>
      <c r="I173" s="114" t="s">
        <v>1409</v>
      </c>
      <c r="J173" s="118">
        <v>1976</v>
      </c>
      <c r="K173" s="119">
        <f t="shared" si="21"/>
        <v>40</v>
      </c>
      <c r="L173" s="109" t="str">
        <f t="shared" si="18"/>
        <v>OK</v>
      </c>
      <c r="M173" s="107" t="s">
        <v>827</v>
      </c>
    </row>
    <row r="174" spans="1:13" s="124" customFormat="1" ht="13.5">
      <c r="A174" s="231" t="s">
        <v>696</v>
      </c>
      <c r="B174" s="113" t="s">
        <v>813</v>
      </c>
      <c r="C174" s="113" t="s">
        <v>1399</v>
      </c>
      <c r="D174" s="144" t="s">
        <v>1573</v>
      </c>
      <c r="E174" s="107" t="s">
        <v>1583</v>
      </c>
      <c r="F174" s="109" t="str">
        <f t="shared" si="20"/>
        <v>F26</v>
      </c>
      <c r="G174" s="108" t="str">
        <f>B174&amp;C174</f>
        <v>奥内菜々</v>
      </c>
      <c r="H174" s="144" t="s">
        <v>1573</v>
      </c>
      <c r="I174" s="114" t="s">
        <v>1409</v>
      </c>
      <c r="J174" s="121">
        <v>1999</v>
      </c>
      <c r="K174" s="119">
        <f t="shared" si="21"/>
        <v>17</v>
      </c>
      <c r="L174" s="109" t="str">
        <f t="shared" si="18"/>
        <v>OK</v>
      </c>
      <c r="M174" s="107" t="s">
        <v>825</v>
      </c>
    </row>
    <row r="175" spans="1:13" s="124" customFormat="1" ht="13.5">
      <c r="A175" s="231" t="s">
        <v>697</v>
      </c>
      <c r="B175" s="112" t="s">
        <v>1400</v>
      </c>
      <c r="C175" s="112" t="s">
        <v>1401</v>
      </c>
      <c r="D175" s="144" t="s">
        <v>1573</v>
      </c>
      <c r="E175" s="107" t="s">
        <v>1583</v>
      </c>
      <c r="F175" s="109" t="str">
        <f t="shared" si="20"/>
        <v>F27</v>
      </c>
      <c r="G175" s="108" t="str">
        <f>B175&amp;C175</f>
        <v>植田早耶</v>
      </c>
      <c r="H175" s="144" t="s">
        <v>1573</v>
      </c>
      <c r="I175" s="114" t="s">
        <v>1409</v>
      </c>
      <c r="J175" s="121">
        <v>1999</v>
      </c>
      <c r="K175" s="119">
        <f t="shared" si="21"/>
        <v>17</v>
      </c>
      <c r="L175" s="109" t="str">
        <f t="shared" si="18"/>
        <v>OK</v>
      </c>
      <c r="M175" s="113" t="s">
        <v>830</v>
      </c>
    </row>
    <row r="176" spans="1:13" s="124" customFormat="1" ht="13.5">
      <c r="A176" s="231" t="s">
        <v>698</v>
      </c>
      <c r="B176" s="113" t="s">
        <v>1405</v>
      </c>
      <c r="C176" s="113" t="s">
        <v>1427</v>
      </c>
      <c r="D176" s="107" t="s">
        <v>1572</v>
      </c>
      <c r="E176" s="107"/>
      <c r="F176" s="109" t="str">
        <f t="shared" si="20"/>
        <v>F28</v>
      </c>
      <c r="G176" s="108" t="s">
        <v>1428</v>
      </c>
      <c r="H176" s="144" t="s">
        <v>1584</v>
      </c>
      <c r="I176" s="114" t="s">
        <v>1409</v>
      </c>
      <c r="J176" s="121">
        <v>1994</v>
      </c>
      <c r="K176" s="119">
        <f t="shared" si="21"/>
        <v>22</v>
      </c>
      <c r="L176" s="109" t="str">
        <f t="shared" si="18"/>
        <v>OK</v>
      </c>
      <c r="M176" s="107" t="s">
        <v>1359</v>
      </c>
    </row>
    <row r="177" spans="1:13" s="124" customFormat="1" ht="13.5">
      <c r="A177" s="231" t="s">
        <v>1585</v>
      </c>
      <c r="B177" s="113" t="s">
        <v>1462</v>
      </c>
      <c r="C177" s="113" t="s">
        <v>1463</v>
      </c>
      <c r="D177" s="107" t="s">
        <v>1572</v>
      </c>
      <c r="E177" s="107"/>
      <c r="F177" s="109" t="str">
        <f t="shared" si="20"/>
        <v>F29</v>
      </c>
      <c r="G177" s="108" t="s">
        <v>1464</v>
      </c>
      <c r="H177" s="144" t="s">
        <v>1571</v>
      </c>
      <c r="I177" s="114" t="s">
        <v>1409</v>
      </c>
      <c r="J177" s="121">
        <v>1988</v>
      </c>
      <c r="K177" s="119">
        <f t="shared" si="21"/>
        <v>28</v>
      </c>
      <c r="L177" s="109" t="str">
        <f t="shared" si="18"/>
        <v>OK</v>
      </c>
      <c r="M177" s="107" t="s">
        <v>1319</v>
      </c>
    </row>
    <row r="178" spans="1:13" s="124" customFormat="1" ht="13.5">
      <c r="A178" s="231" t="s">
        <v>1657</v>
      </c>
      <c r="B178" s="113" t="s">
        <v>1300</v>
      </c>
      <c r="C178" s="113" t="s">
        <v>1301</v>
      </c>
      <c r="D178" s="107" t="s">
        <v>1651</v>
      </c>
      <c r="E178" s="107"/>
      <c r="F178" s="107" t="str">
        <f t="shared" si="20"/>
        <v>F30</v>
      </c>
      <c r="G178" s="108" t="str">
        <f>B178&amp;C178</f>
        <v>吉岡京子</v>
      </c>
      <c r="H178" s="144" t="s">
        <v>1651</v>
      </c>
      <c r="I178" s="114" t="s">
        <v>1409</v>
      </c>
      <c r="J178" s="118">
        <v>1959</v>
      </c>
      <c r="K178" s="119">
        <f t="shared" si="21"/>
        <v>57</v>
      </c>
      <c r="L178" s="109" t="str">
        <f t="shared" si="18"/>
        <v>OK</v>
      </c>
      <c r="M178" s="107" t="s">
        <v>1465</v>
      </c>
    </row>
    <row r="179" spans="1:13" s="124" customFormat="1" ht="13.5">
      <c r="A179" s="231" t="s">
        <v>1658</v>
      </c>
      <c r="B179" s="113" t="s">
        <v>1265</v>
      </c>
      <c r="C179" s="113" t="s">
        <v>1659</v>
      </c>
      <c r="D179" s="107" t="s">
        <v>1572</v>
      </c>
      <c r="E179" s="107"/>
      <c r="F179" s="109" t="str">
        <f t="shared" si="20"/>
        <v>Ｆ31</v>
      </c>
      <c r="G179" s="108" t="s">
        <v>1660</v>
      </c>
      <c r="H179" s="144" t="s">
        <v>1661</v>
      </c>
      <c r="I179" s="114" t="s">
        <v>1409</v>
      </c>
      <c r="J179" s="121">
        <v>1960</v>
      </c>
      <c r="K179" s="119">
        <f t="shared" si="21"/>
        <v>56</v>
      </c>
      <c r="L179" s="109" t="str">
        <f>IF(G179="","",IF(COUNTIF($G$24:$G$600,G179)&gt;1,"2重登録","OK"))</f>
        <v>OK</v>
      </c>
      <c r="M179" s="107" t="s">
        <v>1349</v>
      </c>
    </row>
    <row r="180" spans="1:13" s="124" customFormat="1" ht="13.5">
      <c r="A180" s="107"/>
      <c r="B180" s="113"/>
      <c r="C180" s="113"/>
      <c r="D180" s="107"/>
      <c r="E180" s="107"/>
      <c r="F180" s="109"/>
      <c r="G180" s="113"/>
      <c r="H180" s="144"/>
      <c r="I180" s="114"/>
      <c r="J180" s="121"/>
      <c r="K180" s="119"/>
      <c r="L180" s="109">
        <f aca="true" t="shared" si="23" ref="L180:L203">IF(G180="","",IF(COUNTIF($G$24:$G$617,G180)&gt;1,"2重登録","OK"))</f>
      </c>
      <c r="M180" s="107"/>
    </row>
    <row r="181" spans="1:13" s="124" customFormat="1" ht="13.5">
      <c r="A181" s="107"/>
      <c r="B181" s="113"/>
      <c r="C181" s="113"/>
      <c r="D181" s="144"/>
      <c r="E181" s="107"/>
      <c r="F181" s="109"/>
      <c r="G181" s="113"/>
      <c r="H181" s="144"/>
      <c r="I181" s="114"/>
      <c r="J181" s="121"/>
      <c r="K181" s="119"/>
      <c r="L181" s="109">
        <f t="shared" si="23"/>
      </c>
      <c r="M181" s="107"/>
    </row>
    <row r="182" spans="1:13" s="124" customFormat="1" ht="13.5">
      <c r="A182" s="107"/>
      <c r="B182" s="113"/>
      <c r="C182" s="113"/>
      <c r="D182" s="144"/>
      <c r="E182" s="107"/>
      <c r="F182" s="109"/>
      <c r="G182" s="113"/>
      <c r="H182" s="144"/>
      <c r="I182" s="114"/>
      <c r="J182" s="121"/>
      <c r="K182" s="119"/>
      <c r="L182" s="109">
        <f t="shared" si="23"/>
      </c>
      <c r="M182" s="107"/>
    </row>
    <row r="183" spans="1:13" s="124" customFormat="1" ht="13.5">
      <c r="A183" s="107"/>
      <c r="B183" s="113"/>
      <c r="C183" s="113"/>
      <c r="D183" s="144"/>
      <c r="E183" s="107"/>
      <c r="F183" s="107"/>
      <c r="G183" s="113"/>
      <c r="H183" s="144"/>
      <c r="I183" s="114"/>
      <c r="J183" s="118"/>
      <c r="K183" s="119"/>
      <c r="L183" s="109">
        <f t="shared" si="23"/>
      </c>
      <c r="M183" s="107"/>
    </row>
    <row r="184" spans="1:13" s="124" customFormat="1" ht="13.5">
      <c r="A184" s="107"/>
      <c r="B184" s="113"/>
      <c r="C184" s="113"/>
      <c r="D184" s="144"/>
      <c r="E184" s="107"/>
      <c r="F184" s="109"/>
      <c r="G184" s="113"/>
      <c r="H184" s="144"/>
      <c r="I184" s="114"/>
      <c r="J184" s="121"/>
      <c r="K184" s="119"/>
      <c r="L184" s="109">
        <f t="shared" si="23"/>
      </c>
      <c r="M184" s="107"/>
    </row>
    <row r="185" spans="1:13" s="124" customFormat="1" ht="13.5">
      <c r="A185" s="107"/>
      <c r="B185" s="112"/>
      <c r="C185" s="112"/>
      <c r="D185" s="144"/>
      <c r="E185" s="107"/>
      <c r="F185" s="109"/>
      <c r="G185" s="113"/>
      <c r="H185" s="144"/>
      <c r="I185" s="114"/>
      <c r="J185" s="121"/>
      <c r="K185" s="119"/>
      <c r="L185" s="109">
        <f t="shared" si="23"/>
      </c>
      <c r="M185" s="107"/>
    </row>
    <row r="186" spans="1:13" s="124" customFormat="1" ht="13.5">
      <c r="A186" s="107"/>
      <c r="B186" s="113"/>
      <c r="C186" s="113"/>
      <c r="D186" s="144"/>
      <c r="E186" s="107"/>
      <c r="F186" s="109"/>
      <c r="G186" s="113"/>
      <c r="H186" s="144"/>
      <c r="I186" s="114"/>
      <c r="J186" s="121"/>
      <c r="K186" s="119"/>
      <c r="L186" s="109">
        <f t="shared" si="23"/>
      </c>
      <c r="M186" s="107"/>
    </row>
    <row r="187" spans="1:13" s="124" customFormat="1" ht="13.5">
      <c r="A187" s="107"/>
      <c r="B187" s="113"/>
      <c r="C187" s="113"/>
      <c r="D187" s="107"/>
      <c r="E187" s="107"/>
      <c r="F187" s="109"/>
      <c r="G187" s="113"/>
      <c r="H187" s="144"/>
      <c r="I187" s="114"/>
      <c r="J187" s="121"/>
      <c r="K187" s="119"/>
      <c r="L187" s="109">
        <f t="shared" si="23"/>
      </c>
      <c r="M187" s="107"/>
    </row>
    <row r="188" spans="1:13" s="124" customFormat="1" ht="13.5">
      <c r="A188" s="107"/>
      <c r="B188" s="113"/>
      <c r="C188" s="113"/>
      <c r="D188" s="107"/>
      <c r="E188" s="107"/>
      <c r="F188" s="107"/>
      <c r="G188" s="113"/>
      <c r="H188" s="144"/>
      <c r="I188" s="114"/>
      <c r="J188" s="118"/>
      <c r="K188" s="119"/>
      <c r="L188" s="109">
        <f t="shared" si="23"/>
      </c>
      <c r="M188" s="107"/>
    </row>
    <row r="189" spans="1:13" s="124" customFormat="1" ht="13.5">
      <c r="A189" s="107"/>
      <c r="B189" s="113"/>
      <c r="C189" s="113"/>
      <c r="D189" s="107"/>
      <c r="E189" s="107"/>
      <c r="F189" s="107"/>
      <c r="G189" s="107"/>
      <c r="H189" s="144"/>
      <c r="I189" s="111"/>
      <c r="J189" s="118"/>
      <c r="K189" s="119"/>
      <c r="L189" s="109">
        <f t="shared" si="23"/>
      </c>
      <c r="M189" s="107"/>
    </row>
    <row r="190" spans="1:13" s="124" customFormat="1" ht="13.5">
      <c r="A190" s="107"/>
      <c r="B190" s="113"/>
      <c r="C190" s="113"/>
      <c r="D190" s="107"/>
      <c r="E190" s="107"/>
      <c r="F190" s="107"/>
      <c r="G190" s="107"/>
      <c r="H190" s="144"/>
      <c r="I190" s="111"/>
      <c r="J190" s="118"/>
      <c r="K190" s="119"/>
      <c r="L190" s="109">
        <f t="shared" si="23"/>
      </c>
      <c r="M190" s="107"/>
    </row>
    <row r="191" spans="1:13" s="124" customFormat="1" ht="13.5">
      <c r="A191" s="107"/>
      <c r="B191" s="113"/>
      <c r="C191" s="113"/>
      <c r="D191" s="107"/>
      <c r="E191" s="107"/>
      <c r="F191" s="107"/>
      <c r="G191" s="107"/>
      <c r="H191" s="144"/>
      <c r="I191" s="111"/>
      <c r="J191" s="118"/>
      <c r="K191" s="119"/>
      <c r="L191" s="109">
        <f t="shared" si="23"/>
      </c>
      <c r="M191" s="107"/>
    </row>
    <row r="192" spans="1:13" s="124" customFormat="1" ht="13.5">
      <c r="A192" s="107"/>
      <c r="B192" s="113"/>
      <c r="C192" s="113"/>
      <c r="D192" s="107"/>
      <c r="E192" s="107"/>
      <c r="F192" s="107"/>
      <c r="G192" s="107"/>
      <c r="H192" s="144"/>
      <c r="I192" s="111"/>
      <c r="J192" s="118"/>
      <c r="K192" s="119"/>
      <c r="L192" s="109">
        <f t="shared" si="23"/>
      </c>
      <c r="M192" s="107"/>
    </row>
    <row r="193" spans="1:13" s="124" customFormat="1" ht="13.5">
      <c r="A193" s="107"/>
      <c r="B193" s="113"/>
      <c r="C193" s="113"/>
      <c r="D193" s="107"/>
      <c r="E193" s="107"/>
      <c r="F193" s="107"/>
      <c r="G193" s="107"/>
      <c r="H193" s="144"/>
      <c r="I193" s="111"/>
      <c r="J193" s="118"/>
      <c r="K193" s="119"/>
      <c r="L193" s="109">
        <f t="shared" si="23"/>
      </c>
      <c r="M193" s="107"/>
    </row>
    <row r="194" spans="1:13" s="124" customFormat="1" ht="13.5">
      <c r="A194" s="107"/>
      <c r="B194" s="113"/>
      <c r="C194" s="113"/>
      <c r="D194" s="107"/>
      <c r="E194" s="107"/>
      <c r="F194" s="107"/>
      <c r="G194" s="107"/>
      <c r="H194" s="144"/>
      <c r="I194" s="111"/>
      <c r="J194" s="118"/>
      <c r="K194" s="119"/>
      <c r="L194" s="109">
        <f t="shared" si="23"/>
      </c>
      <c r="M194" s="107"/>
    </row>
    <row r="195" spans="1:13" s="124" customFormat="1" ht="13.5">
      <c r="A195" s="107"/>
      <c r="B195" s="113"/>
      <c r="C195" s="113"/>
      <c r="D195" s="107"/>
      <c r="E195" s="107"/>
      <c r="F195" s="107"/>
      <c r="G195" s="107"/>
      <c r="H195" s="144"/>
      <c r="I195" s="111"/>
      <c r="J195" s="118"/>
      <c r="K195" s="119"/>
      <c r="L195" s="109">
        <f t="shared" si="23"/>
      </c>
      <c r="M195" s="107"/>
    </row>
    <row r="196" spans="1:13" s="124" customFormat="1" ht="13.5">
      <c r="A196" s="107"/>
      <c r="B196" s="113"/>
      <c r="C196" s="113"/>
      <c r="D196" s="107"/>
      <c r="E196" s="107"/>
      <c r="F196" s="107"/>
      <c r="G196" s="107"/>
      <c r="H196" s="144"/>
      <c r="I196" s="111"/>
      <c r="J196" s="118"/>
      <c r="K196" s="119"/>
      <c r="L196" s="109">
        <f t="shared" si="23"/>
      </c>
      <c r="M196" s="107"/>
    </row>
    <row r="197" spans="1:13" s="124" customFormat="1" ht="13.5">
      <c r="A197" s="107"/>
      <c r="B197" s="113"/>
      <c r="C197" s="113"/>
      <c r="D197" s="107"/>
      <c r="E197" s="107"/>
      <c r="F197" s="107"/>
      <c r="G197" s="107"/>
      <c r="H197" s="144"/>
      <c r="I197" s="111"/>
      <c r="J197" s="118"/>
      <c r="K197" s="119"/>
      <c r="L197" s="109">
        <f t="shared" si="23"/>
      </c>
      <c r="M197" s="107"/>
    </row>
    <row r="198" spans="1:13" s="124" customFormat="1" ht="13.5">
      <c r="A198" s="107"/>
      <c r="B198" s="113"/>
      <c r="C198" s="113"/>
      <c r="D198" s="107"/>
      <c r="E198" s="107"/>
      <c r="F198" s="107"/>
      <c r="G198" s="107"/>
      <c r="H198" s="144"/>
      <c r="I198" s="111"/>
      <c r="J198" s="118"/>
      <c r="K198" s="119"/>
      <c r="L198" s="109">
        <f t="shared" si="23"/>
      </c>
      <c r="M198" s="107"/>
    </row>
    <row r="199" spans="1:13" s="124" customFormat="1" ht="13.5">
      <c r="A199" s="107"/>
      <c r="B199" s="113"/>
      <c r="C199" s="113"/>
      <c r="D199" s="107"/>
      <c r="E199" s="107"/>
      <c r="F199" s="107"/>
      <c r="G199" s="107"/>
      <c r="H199" s="144"/>
      <c r="I199" s="111"/>
      <c r="J199" s="118"/>
      <c r="K199" s="119"/>
      <c r="L199" s="109">
        <f t="shared" si="23"/>
      </c>
      <c r="M199" s="107"/>
    </row>
    <row r="200" spans="1:13" s="124" customFormat="1" ht="13.5">
      <c r="A200" s="107"/>
      <c r="B200" s="113"/>
      <c r="C200" s="113"/>
      <c r="D200" s="107"/>
      <c r="E200" s="107"/>
      <c r="F200" s="107"/>
      <c r="G200" s="107"/>
      <c r="H200" s="144"/>
      <c r="I200" s="111"/>
      <c r="J200" s="118"/>
      <c r="K200" s="119"/>
      <c r="L200" s="109">
        <f t="shared" si="23"/>
      </c>
      <c r="M200" s="107"/>
    </row>
    <row r="201" spans="1:13" s="124" customFormat="1" ht="13.5">
      <c r="A201" s="107"/>
      <c r="B201" s="113"/>
      <c r="C201" s="113"/>
      <c r="D201" s="107"/>
      <c r="E201" s="107"/>
      <c r="F201" s="107"/>
      <c r="G201" s="107"/>
      <c r="H201" s="144"/>
      <c r="I201" s="111"/>
      <c r="J201" s="118"/>
      <c r="K201" s="119"/>
      <c r="L201" s="109">
        <f t="shared" si="23"/>
      </c>
      <c r="M201" s="107"/>
    </row>
    <row r="202" spans="1:13" s="124" customFormat="1" ht="13.5">
      <c r="A202" s="107"/>
      <c r="B202" s="108"/>
      <c r="C202" s="658" t="s">
        <v>1466</v>
      </c>
      <c r="D202" s="658"/>
      <c r="E202" s="672" t="s">
        <v>1586</v>
      </c>
      <c r="F202" s="672"/>
      <c r="G202" s="672"/>
      <c r="H202" s="672"/>
      <c r="I202" s="111"/>
      <c r="J202" s="121"/>
      <c r="K202" s="119"/>
      <c r="L202" s="109">
        <f t="shared" si="23"/>
      </c>
      <c r="M202" s="113"/>
    </row>
    <row r="203" spans="1:13" s="124" customFormat="1" ht="13.5">
      <c r="A203" s="107"/>
      <c r="B203" s="108"/>
      <c r="C203" s="658"/>
      <c r="D203" s="658"/>
      <c r="E203" s="672"/>
      <c r="F203" s="672"/>
      <c r="G203" s="672"/>
      <c r="H203" s="672"/>
      <c r="I203" s="111"/>
      <c r="J203" s="121"/>
      <c r="K203" s="119"/>
      <c r="L203" s="109">
        <f t="shared" si="23"/>
      </c>
      <c r="M203" s="113"/>
    </row>
    <row r="204" spans="1:12" s="196" customFormat="1" ht="13.5">
      <c r="A204" s="107"/>
      <c r="B204" s="112"/>
      <c r="C204" s="112"/>
      <c r="D204" s="107"/>
      <c r="E204" s="107"/>
      <c r="F204" s="109"/>
      <c r="G204" s="107" t="s">
        <v>1370</v>
      </c>
      <c r="H204" s="107" t="s">
        <v>1371</v>
      </c>
      <c r="I204" s="107"/>
      <c r="J204" s="118"/>
      <c r="K204" s="119"/>
      <c r="L204" s="109"/>
    </row>
    <row r="205" spans="1:12" s="196" customFormat="1" ht="13.5" customHeight="1">
      <c r="A205" s="107"/>
      <c r="B205" s="275"/>
      <c r="C205" s="275"/>
      <c r="D205" s="275"/>
      <c r="E205" s="107"/>
      <c r="F205" s="109"/>
      <c r="G205" s="141">
        <f>COUNTIF($M$208:$M$279,"東近江市")</f>
        <v>7</v>
      </c>
      <c r="H205" s="142">
        <f>(G205/RIGHT(A283,2))</f>
        <v>0.09210526315789473</v>
      </c>
      <c r="I205" s="107"/>
      <c r="J205" s="118"/>
      <c r="K205" s="119"/>
      <c r="L205" s="109"/>
    </row>
    <row r="206" spans="1:12" ht="13.5" customHeight="1">
      <c r="A206" s="107"/>
      <c r="B206" s="116" t="s">
        <v>700</v>
      </c>
      <c r="C206" s="275"/>
      <c r="D206" s="142" t="s">
        <v>1430</v>
      </c>
      <c r="F206" s="109"/>
      <c r="K206" s="119"/>
      <c r="L206" s="109">
        <f aca="true" t="shared" si="24" ref="L206:L245">IF(G206="","",IF(COUNTIF($G$24:$G$617,G206)&gt;1,"2重登録","OK"))</f>
      </c>
    </row>
    <row r="207" spans="1:12" ht="14.25">
      <c r="A207" s="107"/>
      <c r="B207" s="670" t="s">
        <v>9</v>
      </c>
      <c r="C207" s="670"/>
      <c r="D207" s="136" t="s">
        <v>1429</v>
      </c>
      <c r="E207" s="136"/>
      <c r="F207" s="136"/>
      <c r="G207" s="141"/>
      <c r="K207" s="119"/>
      <c r="L207" s="109">
        <f t="shared" si="24"/>
      </c>
    </row>
    <row r="208" spans="1:13" ht="13.5">
      <c r="A208" s="107" t="s">
        <v>10</v>
      </c>
      <c r="B208" s="108" t="s">
        <v>1327</v>
      </c>
      <c r="C208" s="108" t="s">
        <v>1515</v>
      </c>
      <c r="D208" s="161" t="s">
        <v>701</v>
      </c>
      <c r="E208" s="107"/>
      <c r="F208" s="109" t="str">
        <f aca="true" t="shared" si="25" ref="F208:F271">A208</f>
        <v>G01</v>
      </c>
      <c r="G208" s="107" t="str">
        <f aca="true" t="shared" si="26" ref="G208:G271">B208&amp;C208</f>
        <v>浅田恵亮</v>
      </c>
      <c r="H208" s="116" t="s">
        <v>700</v>
      </c>
      <c r="I208" s="116" t="s">
        <v>1214</v>
      </c>
      <c r="J208" s="122">
        <v>1987</v>
      </c>
      <c r="K208" s="119">
        <f>IF(J208="","",(2016-J208))</f>
        <v>29</v>
      </c>
      <c r="L208" s="109" t="str">
        <f t="shared" si="24"/>
        <v>OK</v>
      </c>
      <c r="M208" s="124" t="s">
        <v>823</v>
      </c>
    </row>
    <row r="209" spans="1:13" ht="13.5">
      <c r="A209" s="107" t="s">
        <v>11</v>
      </c>
      <c r="B209" s="108" t="s">
        <v>1327</v>
      </c>
      <c r="C209" s="108" t="s">
        <v>1516</v>
      </c>
      <c r="D209" s="161" t="s">
        <v>708</v>
      </c>
      <c r="E209" s="107"/>
      <c r="F209" s="109" t="str">
        <f t="shared" si="25"/>
        <v>G02</v>
      </c>
      <c r="G209" s="107" t="str">
        <f t="shared" si="26"/>
        <v>浅田洋史</v>
      </c>
      <c r="H209" s="116" t="s">
        <v>12</v>
      </c>
      <c r="I209" s="116" t="s">
        <v>1214</v>
      </c>
      <c r="J209" s="122">
        <v>1990</v>
      </c>
      <c r="K209" s="119">
        <f>IF(J209="","",(2016-J209))</f>
        <v>26</v>
      </c>
      <c r="L209" s="109" t="str">
        <f t="shared" si="24"/>
        <v>OK</v>
      </c>
      <c r="M209" s="124" t="s">
        <v>1517</v>
      </c>
    </row>
    <row r="210" spans="1:13" ht="13.5">
      <c r="A210" s="107" t="s">
        <v>13</v>
      </c>
      <c r="B210" s="108" t="s">
        <v>1046</v>
      </c>
      <c r="C210" s="108" t="s">
        <v>1047</v>
      </c>
      <c r="D210" s="161" t="s">
        <v>708</v>
      </c>
      <c r="E210" s="107"/>
      <c r="F210" s="109" t="str">
        <f t="shared" si="25"/>
        <v>G03</v>
      </c>
      <c r="G210" s="107" t="str">
        <f t="shared" si="26"/>
        <v>石橋和基</v>
      </c>
      <c r="H210" s="116" t="s">
        <v>12</v>
      </c>
      <c r="I210" s="116" t="s">
        <v>1214</v>
      </c>
      <c r="J210" s="122">
        <v>1985</v>
      </c>
      <c r="K210" s="119">
        <f>IF(J210="","",(2016-J210))</f>
        <v>31</v>
      </c>
      <c r="L210" s="109" t="str">
        <f t="shared" si="24"/>
        <v>OK</v>
      </c>
      <c r="M210" s="124" t="s">
        <v>795</v>
      </c>
    </row>
    <row r="211" spans="1:13" ht="13.5">
      <c r="A211" s="107" t="s">
        <v>14</v>
      </c>
      <c r="B211" s="61" t="s">
        <v>1363</v>
      </c>
      <c r="C211" s="108" t="s">
        <v>1364</v>
      </c>
      <c r="D211" s="161" t="s">
        <v>704</v>
      </c>
      <c r="E211" s="107"/>
      <c r="F211" s="109" t="str">
        <f t="shared" si="25"/>
        <v>G04</v>
      </c>
      <c r="G211" s="107" t="str">
        <f>B211&amp;C211</f>
        <v>井上聖哉</v>
      </c>
      <c r="H211" s="116" t="s">
        <v>15</v>
      </c>
      <c r="I211" s="116" t="s">
        <v>1649</v>
      </c>
      <c r="J211" s="122">
        <v>1994</v>
      </c>
      <c r="K211" s="119">
        <f aca="true" t="shared" si="27" ref="K211:K274">IF(J211="","",(2016-J211))</f>
        <v>22</v>
      </c>
      <c r="L211" s="109" t="str">
        <f t="shared" si="24"/>
        <v>OK</v>
      </c>
      <c r="M211" s="139" t="s">
        <v>1350</v>
      </c>
    </row>
    <row r="212" spans="1:13" ht="13.5">
      <c r="A212" s="107" t="s">
        <v>16</v>
      </c>
      <c r="B212" s="162" t="s">
        <v>1402</v>
      </c>
      <c r="C212" s="108" t="s">
        <v>702</v>
      </c>
      <c r="D212" s="161" t="s">
        <v>703</v>
      </c>
      <c r="E212" s="107"/>
      <c r="F212" s="109" t="str">
        <f t="shared" si="25"/>
        <v>G05</v>
      </c>
      <c r="G212" s="107" t="str">
        <f>B212&amp;C212</f>
        <v>井ノ口弘祐</v>
      </c>
      <c r="H212" s="116" t="s">
        <v>17</v>
      </c>
      <c r="I212" s="116" t="s">
        <v>1305</v>
      </c>
      <c r="J212" s="122">
        <v>1986</v>
      </c>
      <c r="K212" s="119">
        <f t="shared" si="27"/>
        <v>30</v>
      </c>
      <c r="L212" s="109" t="str">
        <f t="shared" si="24"/>
        <v>OK</v>
      </c>
      <c r="M212" s="139" t="s">
        <v>1350</v>
      </c>
    </row>
    <row r="213" spans="1:13" ht="13.5">
      <c r="A213" s="107" t="s">
        <v>18</v>
      </c>
      <c r="B213" s="162" t="s">
        <v>1402</v>
      </c>
      <c r="C213" s="163" t="s">
        <v>1403</v>
      </c>
      <c r="D213" s="161" t="s">
        <v>708</v>
      </c>
      <c r="F213" s="109" t="str">
        <f t="shared" si="25"/>
        <v>G06</v>
      </c>
      <c r="G213" s="107" t="str">
        <f>B213&amp;C213</f>
        <v>井ノ口幹也</v>
      </c>
      <c r="H213" s="116" t="s">
        <v>12</v>
      </c>
      <c r="I213" s="116" t="s">
        <v>1252</v>
      </c>
      <c r="J213" s="122">
        <v>1990</v>
      </c>
      <c r="K213" s="119">
        <f t="shared" si="27"/>
        <v>26</v>
      </c>
      <c r="L213" s="109" t="str">
        <f t="shared" si="24"/>
        <v>OK</v>
      </c>
      <c r="M213" s="139" t="s">
        <v>1350</v>
      </c>
    </row>
    <row r="214" spans="1:13" ht="13.5">
      <c r="A214" s="107" t="s">
        <v>19</v>
      </c>
      <c r="B214" s="162" t="s">
        <v>1518</v>
      </c>
      <c r="C214" s="163" t="s">
        <v>1519</v>
      </c>
      <c r="D214" s="161" t="s">
        <v>703</v>
      </c>
      <c r="F214" s="109" t="str">
        <f t="shared" si="25"/>
        <v>G07</v>
      </c>
      <c r="G214" s="107" t="str">
        <f>B214&amp;C214</f>
        <v>岩本 龍</v>
      </c>
      <c r="H214" s="116" t="s">
        <v>17</v>
      </c>
      <c r="I214" s="116" t="s">
        <v>1305</v>
      </c>
      <c r="J214" s="122">
        <v>1994</v>
      </c>
      <c r="K214" s="119">
        <f t="shared" si="27"/>
        <v>22</v>
      </c>
      <c r="L214" s="109" t="str">
        <f t="shared" si="24"/>
        <v>OK</v>
      </c>
      <c r="M214" s="170" t="s">
        <v>827</v>
      </c>
    </row>
    <row r="215" spans="1:13" ht="13.5" customHeight="1">
      <c r="A215" s="107" t="s">
        <v>20</v>
      </c>
      <c r="B215" s="108" t="s">
        <v>1048</v>
      </c>
      <c r="C215" s="108" t="s">
        <v>1049</v>
      </c>
      <c r="D215" s="161" t="s">
        <v>21</v>
      </c>
      <c r="E215" s="107"/>
      <c r="F215" s="109" t="str">
        <f t="shared" si="25"/>
        <v>G08</v>
      </c>
      <c r="G215" s="107" t="str">
        <f t="shared" si="26"/>
        <v>梅本彬充</v>
      </c>
      <c r="H215" s="116" t="s">
        <v>22</v>
      </c>
      <c r="I215" s="116" t="s">
        <v>23</v>
      </c>
      <c r="J215" s="122">
        <v>1986</v>
      </c>
      <c r="K215" s="119">
        <f t="shared" si="27"/>
        <v>30</v>
      </c>
      <c r="L215" s="109" t="str">
        <f t="shared" si="24"/>
        <v>OK</v>
      </c>
      <c r="M215" s="124" t="s">
        <v>1321</v>
      </c>
    </row>
    <row r="216" spans="1:13" ht="13.5" customHeight="1">
      <c r="A216" s="107" t="s">
        <v>24</v>
      </c>
      <c r="B216" s="108" t="s">
        <v>1050</v>
      </c>
      <c r="C216" s="108" t="s">
        <v>1051</v>
      </c>
      <c r="D216" s="161" t="s">
        <v>1587</v>
      </c>
      <c r="E216" s="107"/>
      <c r="F216" s="109" t="str">
        <f t="shared" si="25"/>
        <v>G09</v>
      </c>
      <c r="G216" s="107" t="str">
        <f t="shared" si="26"/>
        <v>浦崎康平</v>
      </c>
      <c r="H216" s="116" t="s">
        <v>25</v>
      </c>
      <c r="I216" s="116" t="s">
        <v>26</v>
      </c>
      <c r="J216" s="122">
        <v>1991</v>
      </c>
      <c r="K216" s="119">
        <f t="shared" si="27"/>
        <v>25</v>
      </c>
      <c r="L216" s="109" t="str">
        <f t="shared" si="24"/>
        <v>OK</v>
      </c>
      <c r="M216" s="124" t="s">
        <v>827</v>
      </c>
    </row>
    <row r="217" spans="1:13" ht="13.5">
      <c r="A217" s="107" t="s">
        <v>27</v>
      </c>
      <c r="B217" s="61" t="s">
        <v>705</v>
      </c>
      <c r="C217" s="108" t="s">
        <v>1306</v>
      </c>
      <c r="D217" s="161" t="s">
        <v>704</v>
      </c>
      <c r="F217" s="109" t="str">
        <f t="shared" si="25"/>
        <v>G10</v>
      </c>
      <c r="G217" s="107" t="str">
        <f>B217&amp;C217</f>
        <v>岡　仁史</v>
      </c>
      <c r="H217" s="116" t="s">
        <v>15</v>
      </c>
      <c r="I217" s="116" t="s">
        <v>1649</v>
      </c>
      <c r="J217" s="122">
        <v>1971</v>
      </c>
      <c r="K217" s="119">
        <f t="shared" si="27"/>
        <v>45</v>
      </c>
      <c r="L217" s="109" t="str">
        <f t="shared" si="24"/>
        <v>OK</v>
      </c>
      <c r="M217" s="124" t="s">
        <v>823</v>
      </c>
    </row>
    <row r="218" spans="1:13" ht="13.5">
      <c r="A218" s="107" t="s">
        <v>28</v>
      </c>
      <c r="B218" s="61" t="s">
        <v>706</v>
      </c>
      <c r="C218" s="108" t="s">
        <v>707</v>
      </c>
      <c r="D218" s="161" t="s">
        <v>708</v>
      </c>
      <c r="F218" s="109" t="str">
        <f t="shared" si="25"/>
        <v>G11</v>
      </c>
      <c r="G218" s="107" t="str">
        <f>B218&amp;C218</f>
        <v>岡田真樹</v>
      </c>
      <c r="H218" s="116" t="s">
        <v>12</v>
      </c>
      <c r="I218" s="116" t="s">
        <v>1252</v>
      </c>
      <c r="J218" s="122">
        <v>1981</v>
      </c>
      <c r="K218" s="119">
        <f t="shared" si="27"/>
        <v>35</v>
      </c>
      <c r="L218" s="109" t="str">
        <f t="shared" si="24"/>
        <v>OK</v>
      </c>
      <c r="M218" s="124" t="s">
        <v>823</v>
      </c>
    </row>
    <row r="219" spans="1:13" ht="13.5">
      <c r="A219" s="107" t="s">
        <v>29</v>
      </c>
      <c r="B219" s="61" t="s">
        <v>1361</v>
      </c>
      <c r="C219" s="108" t="s">
        <v>1362</v>
      </c>
      <c r="D219" s="161" t="s">
        <v>701</v>
      </c>
      <c r="E219" s="107"/>
      <c r="F219" s="109" t="str">
        <f t="shared" si="25"/>
        <v>G12</v>
      </c>
      <c r="G219" s="107" t="str">
        <f>B219&amp;C219</f>
        <v>奥村隆広</v>
      </c>
      <c r="H219" s="116" t="s">
        <v>700</v>
      </c>
      <c r="I219" s="116" t="s">
        <v>821</v>
      </c>
      <c r="J219" s="122">
        <v>1976</v>
      </c>
      <c r="K219" s="119">
        <f t="shared" si="27"/>
        <v>40</v>
      </c>
      <c r="L219" s="109" t="str">
        <f t="shared" si="24"/>
        <v>OK</v>
      </c>
      <c r="M219" s="124" t="s">
        <v>1353</v>
      </c>
    </row>
    <row r="220" spans="1:13" ht="13.5" customHeight="1">
      <c r="A220" s="107" t="s">
        <v>30</v>
      </c>
      <c r="B220" s="108" t="s">
        <v>1052</v>
      </c>
      <c r="C220" s="108" t="s">
        <v>1053</v>
      </c>
      <c r="D220" s="161" t="s">
        <v>701</v>
      </c>
      <c r="E220" s="107"/>
      <c r="F220" s="109" t="str">
        <f t="shared" si="25"/>
        <v>G13</v>
      </c>
      <c r="G220" s="107" t="str">
        <f t="shared" si="26"/>
        <v>鍵谷浩太</v>
      </c>
      <c r="H220" s="116" t="s">
        <v>700</v>
      </c>
      <c r="I220" s="116" t="s">
        <v>821</v>
      </c>
      <c r="J220" s="122">
        <v>1992</v>
      </c>
      <c r="K220" s="119">
        <f t="shared" si="27"/>
        <v>24</v>
      </c>
      <c r="L220" s="109" t="str">
        <f t="shared" si="24"/>
        <v>OK</v>
      </c>
      <c r="M220" s="124" t="str">
        <f>M216</f>
        <v>彦根市</v>
      </c>
    </row>
    <row r="221" spans="1:13" ht="13.5" customHeight="1">
      <c r="A221" s="107" t="s">
        <v>31</v>
      </c>
      <c r="B221" s="108" t="s">
        <v>1477</v>
      </c>
      <c r="C221" s="108" t="s">
        <v>32</v>
      </c>
      <c r="D221" s="161" t="s">
        <v>21</v>
      </c>
      <c r="E221" s="107"/>
      <c r="F221" s="109" t="str">
        <f t="shared" si="25"/>
        <v>G14</v>
      </c>
      <c r="G221" s="107" t="str">
        <f t="shared" si="26"/>
        <v>金武寿憲</v>
      </c>
      <c r="H221" s="116" t="s">
        <v>22</v>
      </c>
      <c r="I221" s="116" t="s">
        <v>23</v>
      </c>
      <c r="J221" s="122">
        <v>1990</v>
      </c>
      <c r="K221" s="119">
        <f t="shared" si="27"/>
        <v>26</v>
      </c>
      <c r="L221" s="109" t="str">
        <f t="shared" si="24"/>
        <v>OK</v>
      </c>
      <c r="M221" s="124" t="s">
        <v>1478</v>
      </c>
    </row>
    <row r="222" spans="1:13" ht="13.5" customHeight="1">
      <c r="A222" s="107" t="s">
        <v>33</v>
      </c>
      <c r="B222" s="108" t="s">
        <v>1520</v>
      </c>
      <c r="C222" s="108" t="s">
        <v>1469</v>
      </c>
      <c r="D222" s="161" t="s">
        <v>703</v>
      </c>
      <c r="E222" s="107"/>
      <c r="F222" s="109" t="str">
        <f>A222</f>
        <v>G15</v>
      </c>
      <c r="G222" s="107" t="str">
        <f>B222&amp;C222</f>
        <v>岸本美敬</v>
      </c>
      <c r="H222" s="116" t="s">
        <v>17</v>
      </c>
      <c r="I222" s="116" t="s">
        <v>1305</v>
      </c>
      <c r="J222" s="122">
        <v>1989</v>
      </c>
      <c r="K222" s="119">
        <f t="shared" si="27"/>
        <v>27</v>
      </c>
      <c r="L222" s="109" t="str">
        <f t="shared" si="24"/>
        <v>OK</v>
      </c>
      <c r="M222" s="232" t="s">
        <v>1350</v>
      </c>
    </row>
    <row r="223" spans="1:13" ht="13.5">
      <c r="A223" s="107" t="s">
        <v>34</v>
      </c>
      <c r="B223" s="108" t="s">
        <v>870</v>
      </c>
      <c r="C223" s="108" t="s">
        <v>1054</v>
      </c>
      <c r="D223" s="161" t="s">
        <v>1588</v>
      </c>
      <c r="E223" s="107"/>
      <c r="F223" s="109" t="str">
        <f t="shared" si="25"/>
        <v>G16</v>
      </c>
      <c r="G223" s="107" t="str">
        <f t="shared" si="26"/>
        <v>北野照幸</v>
      </c>
      <c r="H223" s="116" t="s">
        <v>35</v>
      </c>
      <c r="I223" s="116" t="s">
        <v>1351</v>
      </c>
      <c r="J223" s="122">
        <v>1984</v>
      </c>
      <c r="K223" s="119">
        <f t="shared" si="27"/>
        <v>32</v>
      </c>
      <c r="L223" s="109" t="str">
        <f t="shared" si="24"/>
        <v>OK</v>
      </c>
      <c r="M223" s="124" t="str">
        <f>M217</f>
        <v>草津市</v>
      </c>
    </row>
    <row r="224" spans="1:13" ht="13.5">
      <c r="A224" s="107" t="s">
        <v>36</v>
      </c>
      <c r="B224" s="108" t="s">
        <v>1055</v>
      </c>
      <c r="C224" s="108" t="s">
        <v>1056</v>
      </c>
      <c r="D224" s="161" t="s">
        <v>1588</v>
      </c>
      <c r="E224" s="107"/>
      <c r="F224" s="109" t="str">
        <f t="shared" si="25"/>
        <v>G17</v>
      </c>
      <c r="G224" s="107" t="str">
        <f t="shared" si="26"/>
        <v>北村　健</v>
      </c>
      <c r="H224" s="116" t="s">
        <v>35</v>
      </c>
      <c r="I224" s="116" t="s">
        <v>1351</v>
      </c>
      <c r="J224" s="122">
        <v>1987</v>
      </c>
      <c r="K224" s="119">
        <f t="shared" si="27"/>
        <v>29</v>
      </c>
      <c r="L224" s="109" t="str">
        <f t="shared" si="24"/>
        <v>OK</v>
      </c>
      <c r="M224" s="149" t="s">
        <v>1353</v>
      </c>
    </row>
    <row r="225" spans="1:13" ht="13.5">
      <c r="A225" s="107" t="s">
        <v>37</v>
      </c>
      <c r="B225" s="108" t="s">
        <v>1470</v>
      </c>
      <c r="C225" s="108" t="s">
        <v>1471</v>
      </c>
      <c r="D225" s="161" t="s">
        <v>21</v>
      </c>
      <c r="E225" s="107"/>
      <c r="F225" s="109" t="str">
        <f t="shared" si="25"/>
        <v>G18</v>
      </c>
      <c r="G225" s="107" t="str">
        <f t="shared" si="26"/>
        <v>倉本亮太</v>
      </c>
      <c r="H225" s="116" t="s">
        <v>22</v>
      </c>
      <c r="I225" s="116" t="s">
        <v>23</v>
      </c>
      <c r="J225" s="122">
        <v>1989</v>
      </c>
      <c r="K225" s="119">
        <f t="shared" si="27"/>
        <v>27</v>
      </c>
      <c r="L225" s="109" t="str">
        <f t="shared" si="24"/>
        <v>OK</v>
      </c>
      <c r="M225" s="149" t="s">
        <v>709</v>
      </c>
    </row>
    <row r="226" spans="1:13" ht="13.5">
      <c r="A226" s="107" t="s">
        <v>38</v>
      </c>
      <c r="B226" s="61" t="s">
        <v>1365</v>
      </c>
      <c r="C226" s="108" t="s">
        <v>1366</v>
      </c>
      <c r="D226" s="161" t="s">
        <v>701</v>
      </c>
      <c r="E226" s="107"/>
      <c r="F226" s="109" t="str">
        <f t="shared" si="25"/>
        <v>G19</v>
      </c>
      <c r="G226" s="107" t="str">
        <f>B226&amp;C226</f>
        <v>河内滋人</v>
      </c>
      <c r="H226" s="116" t="s">
        <v>700</v>
      </c>
      <c r="I226" s="116" t="s">
        <v>821</v>
      </c>
      <c r="J226" s="122">
        <v>1986</v>
      </c>
      <c r="K226" s="119">
        <f t="shared" si="27"/>
        <v>30</v>
      </c>
      <c r="L226" s="109" t="str">
        <f t="shared" si="24"/>
        <v>OK</v>
      </c>
      <c r="M226" s="124" t="s">
        <v>1349</v>
      </c>
    </row>
    <row r="227" spans="1:13" ht="13.5">
      <c r="A227" s="107" t="s">
        <v>852</v>
      </c>
      <c r="B227" s="108" t="s">
        <v>877</v>
      </c>
      <c r="C227" s="108" t="s">
        <v>1057</v>
      </c>
      <c r="D227" s="161" t="s">
        <v>701</v>
      </c>
      <c r="E227" s="107"/>
      <c r="F227" s="109" t="str">
        <f t="shared" si="25"/>
        <v>G20</v>
      </c>
      <c r="G227" s="107" t="str">
        <f t="shared" si="26"/>
        <v>坪田英樹</v>
      </c>
      <c r="H227" s="116" t="s">
        <v>700</v>
      </c>
      <c r="I227" s="116" t="s">
        <v>821</v>
      </c>
      <c r="J227" s="122">
        <v>1988</v>
      </c>
      <c r="K227" s="119">
        <f t="shared" si="27"/>
        <v>28</v>
      </c>
      <c r="L227" s="109" t="str">
        <f t="shared" si="24"/>
        <v>OK</v>
      </c>
      <c r="M227" s="124" t="str">
        <f>M216</f>
        <v>彦根市</v>
      </c>
    </row>
    <row r="228" spans="1:13" ht="13.5">
      <c r="A228" s="107" t="s">
        <v>39</v>
      </c>
      <c r="B228" s="108" t="s">
        <v>1058</v>
      </c>
      <c r="C228" s="108" t="s">
        <v>1059</v>
      </c>
      <c r="D228" s="161" t="s">
        <v>701</v>
      </c>
      <c r="E228" s="107"/>
      <c r="F228" s="109" t="str">
        <f t="shared" si="25"/>
        <v>G21</v>
      </c>
      <c r="G228" s="107" t="str">
        <f t="shared" si="26"/>
        <v>鶴田大地</v>
      </c>
      <c r="H228" s="116" t="s">
        <v>700</v>
      </c>
      <c r="I228" s="116" t="s">
        <v>821</v>
      </c>
      <c r="J228" s="122">
        <v>1992</v>
      </c>
      <c r="K228" s="119">
        <f t="shared" si="27"/>
        <v>24</v>
      </c>
      <c r="L228" s="109" t="str">
        <f t="shared" si="24"/>
        <v>OK</v>
      </c>
      <c r="M228" s="139" t="s">
        <v>1350</v>
      </c>
    </row>
    <row r="229" spans="1:13" ht="13.5">
      <c r="A229" s="107" t="s">
        <v>40</v>
      </c>
      <c r="B229" s="108" t="s">
        <v>1467</v>
      </c>
      <c r="C229" s="108" t="s">
        <v>1468</v>
      </c>
      <c r="D229" s="161" t="s">
        <v>21</v>
      </c>
      <c r="E229" s="107"/>
      <c r="F229" s="109" t="str">
        <f t="shared" si="25"/>
        <v>G22</v>
      </c>
      <c r="G229" s="107" t="str">
        <f t="shared" si="26"/>
        <v>遠池建介</v>
      </c>
      <c r="H229" s="116" t="s">
        <v>22</v>
      </c>
      <c r="I229" s="116" t="s">
        <v>23</v>
      </c>
      <c r="J229" s="122">
        <v>1982</v>
      </c>
      <c r="K229" s="119">
        <f t="shared" si="27"/>
        <v>34</v>
      </c>
      <c r="L229" s="109" t="str">
        <f t="shared" si="24"/>
        <v>OK</v>
      </c>
      <c r="M229" s="170" t="s">
        <v>828</v>
      </c>
    </row>
    <row r="230" spans="1:13" ht="13.5">
      <c r="A230" s="107" t="s">
        <v>41</v>
      </c>
      <c r="B230" s="108" t="s">
        <v>1060</v>
      </c>
      <c r="C230" s="108" t="s">
        <v>1061</v>
      </c>
      <c r="D230" s="161" t="s">
        <v>21</v>
      </c>
      <c r="E230" s="107"/>
      <c r="F230" s="109" t="str">
        <f t="shared" si="25"/>
        <v>G23</v>
      </c>
      <c r="G230" s="107" t="str">
        <f t="shared" si="26"/>
        <v>中澤拓馬</v>
      </c>
      <c r="H230" s="116" t="s">
        <v>22</v>
      </c>
      <c r="I230" s="116" t="s">
        <v>23</v>
      </c>
      <c r="J230" s="122">
        <v>1986</v>
      </c>
      <c r="K230" s="119">
        <f t="shared" si="27"/>
        <v>30</v>
      </c>
      <c r="L230" s="109" t="str">
        <f t="shared" si="24"/>
        <v>OK</v>
      </c>
      <c r="M230" s="124" t="s">
        <v>1353</v>
      </c>
    </row>
    <row r="231" spans="1:13" ht="13.5">
      <c r="A231" s="107" t="s">
        <v>42</v>
      </c>
      <c r="B231" s="108" t="s">
        <v>1315</v>
      </c>
      <c r="C231" s="108" t="s">
        <v>710</v>
      </c>
      <c r="D231" s="161" t="s">
        <v>703</v>
      </c>
      <c r="E231" s="107"/>
      <c r="F231" s="109" t="str">
        <f t="shared" si="25"/>
        <v>G24</v>
      </c>
      <c r="G231" s="107" t="str">
        <f t="shared" si="26"/>
        <v>中田富憲</v>
      </c>
      <c r="H231" s="116" t="s">
        <v>17</v>
      </c>
      <c r="I231" s="116" t="s">
        <v>1305</v>
      </c>
      <c r="J231" s="122">
        <v>1960</v>
      </c>
      <c r="K231" s="119">
        <f t="shared" si="27"/>
        <v>56</v>
      </c>
      <c r="L231" s="109" t="str">
        <f t="shared" si="24"/>
        <v>OK</v>
      </c>
      <c r="M231" s="124" t="s">
        <v>826</v>
      </c>
    </row>
    <row r="232" spans="1:13" ht="13.5" customHeight="1">
      <c r="A232" s="107" t="s">
        <v>43</v>
      </c>
      <c r="B232" s="107" t="s">
        <v>711</v>
      </c>
      <c r="C232" s="107" t="s">
        <v>712</v>
      </c>
      <c r="D232" s="161" t="s">
        <v>708</v>
      </c>
      <c r="F232" s="109" t="str">
        <f t="shared" si="25"/>
        <v>G25</v>
      </c>
      <c r="G232" s="107" t="str">
        <f>B232&amp;C232</f>
        <v>西原達也</v>
      </c>
      <c r="H232" s="116" t="s">
        <v>12</v>
      </c>
      <c r="I232" s="116" t="s">
        <v>1252</v>
      </c>
      <c r="J232" s="122">
        <v>1978</v>
      </c>
      <c r="K232" s="119">
        <f t="shared" si="27"/>
        <v>38</v>
      </c>
      <c r="L232" s="109" t="str">
        <f t="shared" si="24"/>
        <v>OK</v>
      </c>
      <c r="M232" s="107" t="s">
        <v>713</v>
      </c>
    </row>
    <row r="233" spans="1:13" ht="13.5">
      <c r="A233" s="107" t="s">
        <v>44</v>
      </c>
      <c r="B233" s="61" t="s">
        <v>811</v>
      </c>
      <c r="C233" s="108" t="s">
        <v>1360</v>
      </c>
      <c r="D233" s="161" t="s">
        <v>21</v>
      </c>
      <c r="E233" s="107"/>
      <c r="F233" s="109" t="str">
        <f t="shared" si="25"/>
        <v>G26</v>
      </c>
      <c r="G233" s="107" t="str">
        <f>B233&amp;C233</f>
        <v>長谷川俊二</v>
      </c>
      <c r="H233" s="116" t="s">
        <v>22</v>
      </c>
      <c r="I233" s="116" t="s">
        <v>23</v>
      </c>
      <c r="J233" s="122">
        <v>1976</v>
      </c>
      <c r="K233" s="119">
        <f t="shared" si="27"/>
        <v>40</v>
      </c>
      <c r="L233" s="109" t="str">
        <f t="shared" si="24"/>
        <v>OK</v>
      </c>
      <c r="M233" s="136" t="s">
        <v>823</v>
      </c>
    </row>
    <row r="234" spans="1:13" ht="13.5">
      <c r="A234" s="107" t="s">
        <v>45</v>
      </c>
      <c r="B234" s="108" t="s">
        <v>1062</v>
      </c>
      <c r="C234" s="108" t="s">
        <v>1063</v>
      </c>
      <c r="D234" s="161" t="s">
        <v>21</v>
      </c>
      <c r="E234" s="107"/>
      <c r="F234" s="109" t="str">
        <f t="shared" si="25"/>
        <v>G27</v>
      </c>
      <c r="G234" s="107" t="str">
        <f t="shared" si="26"/>
        <v>羽月　秀</v>
      </c>
      <c r="H234" s="116" t="s">
        <v>22</v>
      </c>
      <c r="I234" s="116" t="s">
        <v>23</v>
      </c>
      <c r="J234" s="122">
        <v>1987</v>
      </c>
      <c r="K234" s="119">
        <f t="shared" si="27"/>
        <v>29</v>
      </c>
      <c r="L234" s="109" t="str">
        <f t="shared" si="24"/>
        <v>OK</v>
      </c>
      <c r="M234" s="139" t="s">
        <v>1350</v>
      </c>
    </row>
    <row r="235" spans="1:13" ht="13.5">
      <c r="A235" s="107" t="s">
        <v>46</v>
      </c>
      <c r="B235" s="61" t="s">
        <v>1304</v>
      </c>
      <c r="C235" s="108" t="s">
        <v>714</v>
      </c>
      <c r="D235" s="161" t="s">
        <v>708</v>
      </c>
      <c r="F235" s="109" t="str">
        <f t="shared" si="25"/>
        <v>G28</v>
      </c>
      <c r="G235" s="107" t="str">
        <f>B235&amp;C235</f>
        <v>浜田　豊</v>
      </c>
      <c r="H235" s="116" t="s">
        <v>12</v>
      </c>
      <c r="I235" s="116" t="s">
        <v>1252</v>
      </c>
      <c r="J235" s="122">
        <v>1985</v>
      </c>
      <c r="K235" s="119">
        <f t="shared" si="27"/>
        <v>31</v>
      </c>
      <c r="L235" s="109" t="str">
        <f t="shared" si="24"/>
        <v>OK</v>
      </c>
      <c r="M235" s="124" t="str">
        <f>M215</f>
        <v>近江八幡市</v>
      </c>
    </row>
    <row r="236" spans="1:13" ht="13.5">
      <c r="A236" s="107" t="s">
        <v>47</v>
      </c>
      <c r="B236" s="108" t="s">
        <v>1064</v>
      </c>
      <c r="C236" s="108" t="s">
        <v>1065</v>
      </c>
      <c r="D236" s="161" t="s">
        <v>708</v>
      </c>
      <c r="E236" s="107"/>
      <c r="F236" s="109" t="str">
        <f t="shared" si="25"/>
        <v>G29</v>
      </c>
      <c r="G236" s="107" t="str">
        <f t="shared" si="26"/>
        <v>林　和生</v>
      </c>
      <c r="H236" s="116" t="s">
        <v>12</v>
      </c>
      <c r="I236" s="116" t="s">
        <v>1252</v>
      </c>
      <c r="J236" s="122">
        <v>1986</v>
      </c>
      <c r="K236" s="119">
        <f t="shared" si="27"/>
        <v>30</v>
      </c>
      <c r="L236" s="109" t="str">
        <f t="shared" si="24"/>
        <v>OK</v>
      </c>
      <c r="M236" s="124" t="s">
        <v>828</v>
      </c>
    </row>
    <row r="237" spans="1:13" ht="13.5">
      <c r="A237" s="107" t="s">
        <v>48</v>
      </c>
      <c r="B237" s="108" t="s">
        <v>1064</v>
      </c>
      <c r="C237" s="108" t="s">
        <v>1521</v>
      </c>
      <c r="D237" s="161" t="s">
        <v>703</v>
      </c>
      <c r="E237" s="107"/>
      <c r="F237" s="109" t="str">
        <f>A237</f>
        <v>G30</v>
      </c>
      <c r="G237" s="107" t="str">
        <f>B237&amp;C237</f>
        <v>林　貴大</v>
      </c>
      <c r="H237" s="116" t="s">
        <v>17</v>
      </c>
      <c r="I237" s="116" t="s">
        <v>1305</v>
      </c>
      <c r="J237" s="122">
        <v>1986</v>
      </c>
      <c r="K237" s="119">
        <f t="shared" si="27"/>
        <v>30</v>
      </c>
      <c r="L237" s="109" t="str">
        <f t="shared" si="24"/>
        <v>OK</v>
      </c>
      <c r="M237" s="124" t="s">
        <v>1349</v>
      </c>
    </row>
    <row r="238" spans="1:13" ht="13.5">
      <c r="A238" s="107" t="s">
        <v>49</v>
      </c>
      <c r="B238" s="108" t="s">
        <v>1066</v>
      </c>
      <c r="C238" s="108" t="s">
        <v>1067</v>
      </c>
      <c r="D238" s="161" t="s">
        <v>701</v>
      </c>
      <c r="E238" s="107"/>
      <c r="F238" s="109" t="str">
        <f t="shared" si="25"/>
        <v>G31</v>
      </c>
      <c r="G238" s="107" t="str">
        <f t="shared" si="26"/>
        <v>飛鷹強志</v>
      </c>
      <c r="H238" s="116" t="s">
        <v>700</v>
      </c>
      <c r="I238" s="116" t="s">
        <v>821</v>
      </c>
      <c r="J238" s="122">
        <v>1987</v>
      </c>
      <c r="K238" s="119">
        <f t="shared" si="27"/>
        <v>29</v>
      </c>
      <c r="L238" s="109" t="str">
        <f t="shared" si="24"/>
        <v>OK</v>
      </c>
      <c r="M238" s="124" t="s">
        <v>828</v>
      </c>
    </row>
    <row r="239" spans="1:13" ht="13.5" customHeight="1">
      <c r="A239" s="107" t="s">
        <v>50</v>
      </c>
      <c r="B239" s="107" t="s">
        <v>1398</v>
      </c>
      <c r="C239" s="107" t="s">
        <v>715</v>
      </c>
      <c r="D239" s="161" t="s">
        <v>21</v>
      </c>
      <c r="F239" s="109" t="str">
        <f t="shared" si="25"/>
        <v>G32</v>
      </c>
      <c r="G239" s="107" t="str">
        <f t="shared" si="26"/>
        <v>藤井正和</v>
      </c>
      <c r="H239" s="116" t="s">
        <v>22</v>
      </c>
      <c r="I239" s="116" t="s">
        <v>23</v>
      </c>
      <c r="J239" s="164">
        <v>1975</v>
      </c>
      <c r="K239" s="119">
        <f t="shared" si="27"/>
        <v>41</v>
      </c>
      <c r="L239" s="109" t="str">
        <f t="shared" si="24"/>
        <v>OK</v>
      </c>
      <c r="M239" s="107" t="s">
        <v>823</v>
      </c>
    </row>
    <row r="240" spans="1:13" ht="13.5" customHeight="1">
      <c r="A240" s="107" t="s">
        <v>51</v>
      </c>
      <c r="B240" s="107" t="s">
        <v>716</v>
      </c>
      <c r="C240" s="107" t="s">
        <v>717</v>
      </c>
      <c r="D240" s="161" t="s">
        <v>21</v>
      </c>
      <c r="F240" s="109" t="str">
        <f t="shared" si="25"/>
        <v>G33</v>
      </c>
      <c r="G240" s="107" t="str">
        <f t="shared" si="26"/>
        <v>堀場俊宏</v>
      </c>
      <c r="H240" s="116" t="s">
        <v>22</v>
      </c>
      <c r="I240" s="116" t="s">
        <v>23</v>
      </c>
      <c r="J240" s="164">
        <v>1986</v>
      </c>
      <c r="K240" s="119">
        <f t="shared" si="27"/>
        <v>30</v>
      </c>
      <c r="L240" s="109" t="str">
        <f t="shared" si="24"/>
        <v>OK</v>
      </c>
      <c r="M240" s="107" t="s">
        <v>1358</v>
      </c>
    </row>
    <row r="241" spans="1:13" ht="13.5" customHeight="1">
      <c r="A241" s="107" t="s">
        <v>52</v>
      </c>
      <c r="B241" s="107" t="s">
        <v>718</v>
      </c>
      <c r="C241" s="107" t="s">
        <v>719</v>
      </c>
      <c r="D241" s="161" t="s">
        <v>21</v>
      </c>
      <c r="F241" s="109" t="str">
        <f t="shared" si="25"/>
        <v>G34</v>
      </c>
      <c r="G241" s="107" t="str">
        <f t="shared" si="26"/>
        <v>鈎　優介</v>
      </c>
      <c r="H241" s="116" t="s">
        <v>22</v>
      </c>
      <c r="I241" s="116" t="s">
        <v>23</v>
      </c>
      <c r="J241" s="164">
        <v>1988</v>
      </c>
      <c r="K241" s="119">
        <f t="shared" si="27"/>
        <v>28</v>
      </c>
      <c r="L241" s="109" t="str">
        <f t="shared" si="24"/>
        <v>OK</v>
      </c>
      <c r="M241" s="107" t="s">
        <v>1358</v>
      </c>
    </row>
    <row r="242" spans="1:13" ht="13.5" customHeight="1">
      <c r="A242" s="107" t="s">
        <v>53</v>
      </c>
      <c r="B242" s="107" t="s">
        <v>1522</v>
      </c>
      <c r="C242" s="107" t="s">
        <v>1523</v>
      </c>
      <c r="D242" s="161" t="s">
        <v>21</v>
      </c>
      <c r="F242" s="109" t="str">
        <f>A242</f>
        <v>G35</v>
      </c>
      <c r="G242" s="107" t="str">
        <f t="shared" si="26"/>
        <v>松岡 準</v>
      </c>
      <c r="H242" s="116" t="s">
        <v>22</v>
      </c>
      <c r="I242" s="116" t="s">
        <v>23</v>
      </c>
      <c r="J242" s="164">
        <v>1994</v>
      </c>
      <c r="K242" s="119">
        <f t="shared" si="27"/>
        <v>22</v>
      </c>
      <c r="L242" s="109" t="str">
        <f t="shared" si="24"/>
        <v>OK</v>
      </c>
      <c r="M242" s="107" t="s">
        <v>1524</v>
      </c>
    </row>
    <row r="243" spans="1:13" ht="13.5" customHeight="1">
      <c r="A243" s="107" t="s">
        <v>54</v>
      </c>
      <c r="B243" s="107" t="s">
        <v>1525</v>
      </c>
      <c r="C243" s="107" t="s">
        <v>1526</v>
      </c>
      <c r="D243" s="161" t="s">
        <v>703</v>
      </c>
      <c r="F243" s="109" t="str">
        <f>A243</f>
        <v>G36</v>
      </c>
      <c r="G243" s="107" t="str">
        <f t="shared" si="26"/>
        <v>宮本悠佑</v>
      </c>
      <c r="H243" s="116" t="s">
        <v>17</v>
      </c>
      <c r="I243" s="116" t="s">
        <v>1305</v>
      </c>
      <c r="J243" s="164">
        <v>1994</v>
      </c>
      <c r="K243" s="119">
        <f t="shared" si="27"/>
        <v>22</v>
      </c>
      <c r="L243" s="109" t="str">
        <f t="shared" si="24"/>
        <v>OK</v>
      </c>
      <c r="M243" s="107" t="s">
        <v>827</v>
      </c>
    </row>
    <row r="244" spans="1:13" ht="13.5" customHeight="1">
      <c r="A244" s="107" t="s">
        <v>55</v>
      </c>
      <c r="B244" s="107" t="s">
        <v>1268</v>
      </c>
      <c r="C244" s="107" t="s">
        <v>1527</v>
      </c>
      <c r="D244" s="161" t="s">
        <v>21</v>
      </c>
      <c r="F244" s="109" t="str">
        <f>A244</f>
        <v>G37</v>
      </c>
      <c r="G244" s="107" t="str">
        <f t="shared" si="26"/>
        <v>村上 卓</v>
      </c>
      <c r="H244" s="116" t="s">
        <v>22</v>
      </c>
      <c r="I244" s="116" t="s">
        <v>23</v>
      </c>
      <c r="J244" s="164">
        <v>1977</v>
      </c>
      <c r="K244" s="119">
        <f t="shared" si="27"/>
        <v>39</v>
      </c>
      <c r="L244" s="109" t="str">
        <f t="shared" si="24"/>
        <v>OK</v>
      </c>
      <c r="M244" s="107" t="s">
        <v>1358</v>
      </c>
    </row>
    <row r="245" spans="1:13" ht="13.5">
      <c r="A245" s="107" t="s">
        <v>56</v>
      </c>
      <c r="B245" s="108" t="s">
        <v>936</v>
      </c>
      <c r="C245" s="108" t="s">
        <v>1068</v>
      </c>
      <c r="D245" s="161" t="s">
        <v>21</v>
      </c>
      <c r="E245" s="107"/>
      <c r="F245" s="109" t="str">
        <f t="shared" si="25"/>
        <v>G38</v>
      </c>
      <c r="G245" s="107" t="str">
        <f t="shared" si="26"/>
        <v>山崎俊輔</v>
      </c>
      <c r="H245" s="116" t="s">
        <v>22</v>
      </c>
      <c r="I245" s="116" t="s">
        <v>23</v>
      </c>
      <c r="J245" s="122">
        <v>1982</v>
      </c>
      <c r="K245" s="119">
        <f t="shared" si="27"/>
        <v>34</v>
      </c>
      <c r="L245" s="109" t="str">
        <f t="shared" si="24"/>
        <v>OK</v>
      </c>
      <c r="M245" s="124" t="s">
        <v>1322</v>
      </c>
    </row>
    <row r="246" spans="1:13" ht="13.5">
      <c r="A246" s="107" t="s">
        <v>57</v>
      </c>
      <c r="B246" s="108" t="s">
        <v>58</v>
      </c>
      <c r="C246" s="108" t="s">
        <v>59</v>
      </c>
      <c r="D246" s="161" t="s">
        <v>708</v>
      </c>
      <c r="E246" s="107"/>
      <c r="F246" s="109" t="str">
        <f>A246</f>
        <v>G39</v>
      </c>
      <c r="G246" s="107" t="str">
        <f>B246&amp;C246</f>
        <v>久保侑暉</v>
      </c>
      <c r="H246" s="116" t="s">
        <v>12</v>
      </c>
      <c r="I246" s="116" t="s">
        <v>1252</v>
      </c>
      <c r="J246" s="122">
        <v>1993</v>
      </c>
      <c r="K246" s="119">
        <f t="shared" si="27"/>
        <v>23</v>
      </c>
      <c r="L246" s="109" t="str">
        <f>IF(G246="","",IF(COUNTIF($G$23:$G$44,G246)&gt;1,"2重登録","OK"))</f>
        <v>OK</v>
      </c>
      <c r="M246" s="124" t="s">
        <v>1353</v>
      </c>
    </row>
    <row r="247" spans="1:13" ht="13.5">
      <c r="A247" s="107" t="s">
        <v>60</v>
      </c>
      <c r="B247" s="108" t="s">
        <v>720</v>
      </c>
      <c r="C247" s="108" t="s">
        <v>721</v>
      </c>
      <c r="D247" s="161" t="s">
        <v>708</v>
      </c>
      <c r="E247" s="107"/>
      <c r="F247" s="109" t="str">
        <f t="shared" si="25"/>
        <v>G40</v>
      </c>
      <c r="G247" s="107" t="str">
        <f t="shared" si="26"/>
        <v>渡辺裕士</v>
      </c>
      <c r="H247" s="116" t="s">
        <v>12</v>
      </c>
      <c r="I247" s="116" t="s">
        <v>1214</v>
      </c>
      <c r="J247" s="122">
        <v>1986</v>
      </c>
      <c r="K247" s="119">
        <f t="shared" si="27"/>
        <v>30</v>
      </c>
      <c r="L247" s="109" t="str">
        <f aca="true" t="shared" si="28" ref="L247:L283">IF(G247="","",IF(COUNTIF($G$24:$G$617,G247)&gt;1,"2重登録","OK"))</f>
        <v>OK</v>
      </c>
      <c r="M247" s="124" t="s">
        <v>1322</v>
      </c>
    </row>
    <row r="248" spans="1:13" ht="13.5">
      <c r="A248" s="107" t="s">
        <v>61</v>
      </c>
      <c r="B248" s="113" t="s">
        <v>1367</v>
      </c>
      <c r="C248" s="113" t="s">
        <v>1250</v>
      </c>
      <c r="D248" s="161" t="s">
        <v>708</v>
      </c>
      <c r="F248" s="109" t="str">
        <f t="shared" si="25"/>
        <v>G41</v>
      </c>
      <c r="G248" s="107" t="str">
        <f t="shared" si="26"/>
        <v>遠藤直子</v>
      </c>
      <c r="H248" s="116" t="s">
        <v>12</v>
      </c>
      <c r="I248" s="186" t="s">
        <v>1215</v>
      </c>
      <c r="J248" s="122">
        <v>1992</v>
      </c>
      <c r="K248" s="119">
        <f t="shared" si="27"/>
        <v>24</v>
      </c>
      <c r="L248" s="109" t="str">
        <f t="shared" si="28"/>
        <v>OK</v>
      </c>
      <c r="M248" s="124" t="s">
        <v>826</v>
      </c>
    </row>
    <row r="249" spans="1:13" ht="13.5" customHeight="1">
      <c r="A249" s="107" t="s">
        <v>62</v>
      </c>
      <c r="B249" s="113" t="s">
        <v>722</v>
      </c>
      <c r="C249" s="113" t="s">
        <v>1297</v>
      </c>
      <c r="D249" s="161" t="s">
        <v>708</v>
      </c>
      <c r="F249" s="109" t="str">
        <f t="shared" si="25"/>
        <v>G42</v>
      </c>
      <c r="G249" s="107" t="str">
        <f t="shared" si="26"/>
        <v>出口和代</v>
      </c>
      <c r="H249" s="116" t="s">
        <v>12</v>
      </c>
      <c r="I249" s="186" t="s">
        <v>1215</v>
      </c>
      <c r="J249" s="164">
        <v>1987</v>
      </c>
      <c r="K249" s="119">
        <f t="shared" si="27"/>
        <v>29</v>
      </c>
      <c r="L249" s="109" t="str">
        <f t="shared" si="28"/>
        <v>OK</v>
      </c>
      <c r="M249" s="222" t="s">
        <v>1321</v>
      </c>
    </row>
    <row r="250" spans="1:13" ht="13.5" customHeight="1">
      <c r="A250" s="107" t="s">
        <v>63</v>
      </c>
      <c r="B250" s="113" t="s">
        <v>1479</v>
      </c>
      <c r="C250" s="113" t="s">
        <v>1530</v>
      </c>
      <c r="D250" s="161" t="s">
        <v>21</v>
      </c>
      <c r="F250" s="109" t="str">
        <f>A250</f>
        <v>G43</v>
      </c>
      <c r="G250" s="107" t="str">
        <f>B250&amp;C250</f>
        <v>佐合 恵</v>
      </c>
      <c r="H250" s="116" t="s">
        <v>22</v>
      </c>
      <c r="I250" s="186" t="s">
        <v>1215</v>
      </c>
      <c r="J250" s="164">
        <v>1989</v>
      </c>
      <c r="K250" s="119">
        <f t="shared" si="27"/>
        <v>27</v>
      </c>
      <c r="L250" s="109" t="str">
        <f t="shared" si="28"/>
        <v>OK</v>
      </c>
      <c r="M250" s="239" t="s">
        <v>1478</v>
      </c>
    </row>
    <row r="251" spans="1:13" ht="13.5" customHeight="1">
      <c r="A251" s="107" t="s">
        <v>64</v>
      </c>
      <c r="B251" s="113" t="s">
        <v>1476</v>
      </c>
      <c r="C251" s="113" t="s">
        <v>783</v>
      </c>
      <c r="D251" s="161" t="s">
        <v>708</v>
      </c>
      <c r="F251" s="109" t="str">
        <f>A251</f>
        <v>G44</v>
      </c>
      <c r="G251" s="107" t="str">
        <f>B251&amp;C251</f>
        <v>佐々木恵子</v>
      </c>
      <c r="H251" s="116" t="s">
        <v>12</v>
      </c>
      <c r="I251" s="186" t="s">
        <v>1215</v>
      </c>
      <c r="J251" s="164">
        <v>1967</v>
      </c>
      <c r="K251" s="119">
        <f t="shared" si="27"/>
        <v>49</v>
      </c>
      <c r="L251" s="109" t="str">
        <f t="shared" si="28"/>
        <v>OK</v>
      </c>
      <c r="M251" s="222" t="s">
        <v>1322</v>
      </c>
    </row>
    <row r="252" spans="1:14" ht="13.5">
      <c r="A252" s="107" t="s">
        <v>65</v>
      </c>
      <c r="B252" s="165" t="s">
        <v>1368</v>
      </c>
      <c r="C252" s="166" t="s">
        <v>1369</v>
      </c>
      <c r="D252" s="161" t="s">
        <v>21</v>
      </c>
      <c r="F252" s="109" t="str">
        <f t="shared" si="25"/>
        <v>G45</v>
      </c>
      <c r="G252" s="107" t="str">
        <f t="shared" si="26"/>
        <v>深尾純子</v>
      </c>
      <c r="H252" s="116" t="s">
        <v>22</v>
      </c>
      <c r="I252" s="186" t="s">
        <v>1215</v>
      </c>
      <c r="J252" s="122">
        <v>1982</v>
      </c>
      <c r="K252" s="119">
        <f t="shared" si="27"/>
        <v>34</v>
      </c>
      <c r="L252" s="109" t="str">
        <f t="shared" si="28"/>
        <v>OK</v>
      </c>
      <c r="M252" s="136" t="s">
        <v>823</v>
      </c>
      <c r="N252" s="197"/>
    </row>
    <row r="253" spans="1:14" ht="13.5">
      <c r="A253" s="107" t="s">
        <v>66</v>
      </c>
      <c r="B253" s="165" t="s">
        <v>1302</v>
      </c>
      <c r="C253" s="113" t="s">
        <v>1303</v>
      </c>
      <c r="D253" s="161" t="s">
        <v>703</v>
      </c>
      <c r="F253" s="109" t="str">
        <f t="shared" si="25"/>
        <v>G46</v>
      </c>
      <c r="G253" s="107" t="str">
        <f t="shared" si="26"/>
        <v>福島麻公</v>
      </c>
      <c r="H253" s="116" t="s">
        <v>17</v>
      </c>
      <c r="I253" s="186" t="s">
        <v>1215</v>
      </c>
      <c r="J253" s="122">
        <v>1989</v>
      </c>
      <c r="K253" s="119">
        <f t="shared" si="27"/>
        <v>27</v>
      </c>
      <c r="L253" s="109" t="str">
        <f t="shared" si="28"/>
        <v>OK</v>
      </c>
      <c r="M253" s="136" t="s">
        <v>823</v>
      </c>
      <c r="N253" s="197"/>
    </row>
    <row r="254" spans="1:14" ht="13.5">
      <c r="A254" s="107" t="s">
        <v>67</v>
      </c>
      <c r="B254" s="113" t="s">
        <v>1069</v>
      </c>
      <c r="C254" s="113" t="s">
        <v>1070</v>
      </c>
      <c r="D254" s="161" t="s">
        <v>21</v>
      </c>
      <c r="F254" s="109" t="str">
        <f t="shared" si="25"/>
        <v>G47</v>
      </c>
      <c r="G254" s="107" t="str">
        <f t="shared" si="26"/>
        <v>三崎真依</v>
      </c>
      <c r="H254" s="116" t="s">
        <v>22</v>
      </c>
      <c r="I254" s="186" t="s">
        <v>1215</v>
      </c>
      <c r="J254" s="122">
        <v>1991</v>
      </c>
      <c r="K254" s="119">
        <f t="shared" si="27"/>
        <v>25</v>
      </c>
      <c r="L254" s="109" t="str">
        <f t="shared" si="28"/>
        <v>OK</v>
      </c>
      <c r="M254" s="124" t="s">
        <v>1352</v>
      </c>
      <c r="N254" s="197"/>
    </row>
    <row r="255" spans="1:14" ht="13.5">
      <c r="A255" s="107" t="s">
        <v>68</v>
      </c>
      <c r="B255" s="113" t="s">
        <v>1531</v>
      </c>
      <c r="C255" s="113" t="s">
        <v>1532</v>
      </c>
      <c r="D255" s="161" t="s">
        <v>704</v>
      </c>
      <c r="F255" s="109" t="str">
        <f>A255</f>
        <v>G48</v>
      </c>
      <c r="G255" s="107" t="str">
        <f>B255&amp;C255</f>
        <v>山下莉紗</v>
      </c>
      <c r="H255" s="116" t="s">
        <v>15</v>
      </c>
      <c r="I255" s="186" t="s">
        <v>1215</v>
      </c>
      <c r="J255" s="122">
        <v>1994</v>
      </c>
      <c r="K255" s="119">
        <f t="shared" si="27"/>
        <v>22</v>
      </c>
      <c r="L255" s="109" t="str">
        <f t="shared" si="28"/>
        <v>OK</v>
      </c>
      <c r="M255" s="124" t="s">
        <v>713</v>
      </c>
      <c r="N255" s="197"/>
    </row>
    <row r="256" spans="1:14" ht="13.5">
      <c r="A256" s="107" t="s">
        <v>69</v>
      </c>
      <c r="B256" s="165" t="s">
        <v>1245</v>
      </c>
      <c r="C256" s="167" t="s">
        <v>70</v>
      </c>
      <c r="D256" s="161" t="s">
        <v>21</v>
      </c>
      <c r="F256" s="109" t="str">
        <f t="shared" si="25"/>
        <v>G49</v>
      </c>
      <c r="G256" s="107" t="str">
        <f t="shared" si="26"/>
        <v>山本あづさ</v>
      </c>
      <c r="H256" s="116" t="s">
        <v>22</v>
      </c>
      <c r="I256" s="186" t="s">
        <v>1215</v>
      </c>
      <c r="J256" s="122">
        <v>1981</v>
      </c>
      <c r="K256" s="119">
        <f t="shared" si="27"/>
        <v>35</v>
      </c>
      <c r="L256" s="109" t="str">
        <f t="shared" si="28"/>
        <v>OK</v>
      </c>
      <c r="M256" s="124" t="s">
        <v>1349</v>
      </c>
      <c r="N256" s="197"/>
    </row>
    <row r="257" spans="1:13" ht="13.5" customHeight="1">
      <c r="A257" s="107" t="s">
        <v>71</v>
      </c>
      <c r="B257" s="113" t="s">
        <v>1245</v>
      </c>
      <c r="C257" s="113" t="s">
        <v>1344</v>
      </c>
      <c r="D257" s="161" t="s">
        <v>21</v>
      </c>
      <c r="F257" s="109" t="str">
        <f t="shared" si="25"/>
        <v>G50</v>
      </c>
      <c r="G257" s="107" t="str">
        <f t="shared" si="26"/>
        <v>山本順子</v>
      </c>
      <c r="H257" s="116" t="s">
        <v>22</v>
      </c>
      <c r="I257" s="186" t="s">
        <v>1215</v>
      </c>
      <c r="J257" s="122">
        <v>1976</v>
      </c>
      <c r="K257" s="119">
        <f t="shared" si="27"/>
        <v>40</v>
      </c>
      <c r="L257" s="109" t="str">
        <f t="shared" si="28"/>
        <v>OK</v>
      </c>
      <c r="M257" s="124" t="s">
        <v>1321</v>
      </c>
    </row>
    <row r="258" spans="1:13" ht="13.5" customHeight="1">
      <c r="A258" s="107" t="s">
        <v>72</v>
      </c>
      <c r="B258" s="113" t="s">
        <v>1533</v>
      </c>
      <c r="C258" s="113" t="s">
        <v>1277</v>
      </c>
      <c r="D258" s="161" t="s">
        <v>708</v>
      </c>
      <c r="F258" s="109" t="str">
        <f t="shared" si="25"/>
        <v>G51</v>
      </c>
      <c r="G258" s="107" t="str">
        <f t="shared" si="26"/>
        <v>梅森直美</v>
      </c>
      <c r="H258" s="116" t="s">
        <v>12</v>
      </c>
      <c r="I258" s="240" t="s">
        <v>1409</v>
      </c>
      <c r="J258" s="122">
        <v>1977</v>
      </c>
      <c r="K258" s="119">
        <f t="shared" si="27"/>
        <v>39</v>
      </c>
      <c r="L258" s="109" t="str">
        <f t="shared" si="28"/>
        <v>OK</v>
      </c>
      <c r="M258" s="107" t="s">
        <v>1524</v>
      </c>
    </row>
    <row r="259" spans="1:14" ht="13.5">
      <c r="A259" s="107" t="s">
        <v>73</v>
      </c>
      <c r="B259" s="107" t="s">
        <v>1274</v>
      </c>
      <c r="C259" s="107" t="s">
        <v>1534</v>
      </c>
      <c r="D259" s="161" t="s">
        <v>708</v>
      </c>
      <c r="E259" s="107"/>
      <c r="F259" s="109" t="str">
        <f t="shared" si="25"/>
        <v>G52</v>
      </c>
      <c r="G259" s="107" t="str">
        <f t="shared" si="26"/>
        <v>木村恵太</v>
      </c>
      <c r="H259" s="116" t="s">
        <v>12</v>
      </c>
      <c r="I259" s="241" t="s">
        <v>1252</v>
      </c>
      <c r="J259" s="122">
        <v>1983</v>
      </c>
      <c r="K259" s="119">
        <f t="shared" si="27"/>
        <v>33</v>
      </c>
      <c r="L259" s="109" t="str">
        <f t="shared" si="28"/>
        <v>OK</v>
      </c>
      <c r="M259" s="124" t="s">
        <v>1524</v>
      </c>
      <c r="N259" s="107"/>
    </row>
    <row r="260" spans="1:14" ht="13.5">
      <c r="A260" s="107" t="s">
        <v>74</v>
      </c>
      <c r="B260" s="107" t="s">
        <v>1535</v>
      </c>
      <c r="C260" s="107" t="s">
        <v>1536</v>
      </c>
      <c r="D260" s="161" t="s">
        <v>21</v>
      </c>
      <c r="E260" s="107"/>
      <c r="F260" s="109" t="str">
        <f t="shared" si="25"/>
        <v>G53</v>
      </c>
      <c r="G260" s="107" t="str">
        <f t="shared" si="26"/>
        <v>中山幸典</v>
      </c>
      <c r="H260" s="116" t="s">
        <v>22</v>
      </c>
      <c r="I260" s="241" t="s">
        <v>23</v>
      </c>
      <c r="J260" s="122">
        <v>1979</v>
      </c>
      <c r="K260" s="119">
        <f t="shared" si="27"/>
        <v>37</v>
      </c>
      <c r="L260" s="109" t="str">
        <f t="shared" si="28"/>
        <v>OK</v>
      </c>
      <c r="M260" s="124" t="s">
        <v>1353</v>
      </c>
      <c r="N260" s="107"/>
    </row>
    <row r="261" spans="1:13" ht="13.5">
      <c r="A261" s="107" t="s">
        <v>75</v>
      </c>
      <c r="B261" s="107" t="s">
        <v>431</v>
      </c>
      <c r="C261" s="107" t="s">
        <v>432</v>
      </c>
      <c r="D261" s="161" t="s">
        <v>21</v>
      </c>
      <c r="E261" s="107"/>
      <c r="F261" s="109" t="str">
        <f t="shared" si="25"/>
        <v>G54</v>
      </c>
      <c r="G261" s="107" t="str">
        <f t="shared" si="26"/>
        <v>塩谷敦彦</v>
      </c>
      <c r="H261" s="116" t="s">
        <v>22</v>
      </c>
      <c r="I261" s="241" t="s">
        <v>23</v>
      </c>
      <c r="J261" s="122">
        <v>1969</v>
      </c>
      <c r="K261" s="119">
        <f t="shared" si="27"/>
        <v>47</v>
      </c>
      <c r="L261" s="109" t="str">
        <f t="shared" si="28"/>
        <v>OK</v>
      </c>
      <c r="M261" s="124" t="s">
        <v>1353</v>
      </c>
    </row>
    <row r="262" spans="1:13" ht="13.5">
      <c r="A262" s="107" t="s">
        <v>76</v>
      </c>
      <c r="B262" s="107" t="s">
        <v>1245</v>
      </c>
      <c r="C262" s="107" t="s">
        <v>433</v>
      </c>
      <c r="D262" s="161" t="s">
        <v>21</v>
      </c>
      <c r="E262" s="107"/>
      <c r="F262" s="109" t="str">
        <f t="shared" si="25"/>
        <v>G55</v>
      </c>
      <c r="G262" s="107" t="str">
        <f t="shared" si="26"/>
        <v>山本良人</v>
      </c>
      <c r="H262" s="116" t="s">
        <v>22</v>
      </c>
      <c r="I262" s="241" t="s">
        <v>23</v>
      </c>
      <c r="J262" s="122">
        <v>1978</v>
      </c>
      <c r="K262" s="119">
        <f t="shared" si="27"/>
        <v>38</v>
      </c>
      <c r="L262" s="109" t="str">
        <f t="shared" si="28"/>
        <v>OK</v>
      </c>
      <c r="M262" s="124" t="s">
        <v>1353</v>
      </c>
    </row>
    <row r="263" spans="1:13" ht="13.5">
      <c r="A263" s="107" t="s">
        <v>77</v>
      </c>
      <c r="B263" s="231" t="s">
        <v>1248</v>
      </c>
      <c r="C263" s="231" t="s">
        <v>434</v>
      </c>
      <c r="D263" s="265" t="s">
        <v>708</v>
      </c>
      <c r="E263" s="231"/>
      <c r="F263" s="225" t="str">
        <f t="shared" si="25"/>
        <v>G56</v>
      </c>
      <c r="G263" s="220" t="str">
        <f t="shared" si="26"/>
        <v>田中由子</v>
      </c>
      <c r="H263" s="266" t="s">
        <v>12</v>
      </c>
      <c r="I263" s="240" t="s">
        <v>1641</v>
      </c>
      <c r="J263" s="267">
        <v>1965</v>
      </c>
      <c r="K263" s="268">
        <f t="shared" si="27"/>
        <v>51</v>
      </c>
      <c r="L263" s="109" t="str">
        <f t="shared" si="28"/>
        <v>OK</v>
      </c>
      <c r="M263" s="269" t="s">
        <v>823</v>
      </c>
    </row>
    <row r="264" spans="1:13" ht="13.5">
      <c r="A264" s="107" t="s">
        <v>78</v>
      </c>
      <c r="B264" s="231" t="s">
        <v>435</v>
      </c>
      <c r="C264" s="231" t="s">
        <v>436</v>
      </c>
      <c r="D264" s="265" t="s">
        <v>708</v>
      </c>
      <c r="E264" s="231"/>
      <c r="F264" s="225" t="str">
        <f t="shared" si="25"/>
        <v>G57</v>
      </c>
      <c r="G264" s="220" t="str">
        <f t="shared" si="26"/>
        <v>伊藤牧子</v>
      </c>
      <c r="H264" s="266" t="s">
        <v>12</v>
      </c>
      <c r="I264" s="240" t="s">
        <v>1641</v>
      </c>
      <c r="J264" s="267">
        <v>1969</v>
      </c>
      <c r="K264" s="268">
        <f t="shared" si="27"/>
        <v>47</v>
      </c>
      <c r="L264" s="109" t="str">
        <f t="shared" si="28"/>
        <v>OK</v>
      </c>
      <c r="M264" s="269" t="s">
        <v>823</v>
      </c>
    </row>
    <row r="265" spans="1:13" ht="13.5">
      <c r="A265" s="107" t="s">
        <v>79</v>
      </c>
      <c r="B265" s="107" t="s">
        <v>1245</v>
      </c>
      <c r="C265" s="107" t="s">
        <v>80</v>
      </c>
      <c r="D265" s="276" t="s">
        <v>21</v>
      </c>
      <c r="E265" s="107"/>
      <c r="F265" s="238" t="str">
        <f t="shared" si="25"/>
        <v>G58</v>
      </c>
      <c r="G265" s="107" t="str">
        <f t="shared" si="26"/>
        <v>山本悠介</v>
      </c>
      <c r="H265" s="241" t="s">
        <v>22</v>
      </c>
      <c r="I265" s="241" t="s">
        <v>81</v>
      </c>
      <c r="J265" s="164">
        <v>1985</v>
      </c>
      <c r="K265" s="277">
        <f t="shared" si="27"/>
        <v>31</v>
      </c>
      <c r="L265" s="109" t="str">
        <f t="shared" si="28"/>
        <v>OK</v>
      </c>
      <c r="M265" s="170" t="s">
        <v>826</v>
      </c>
    </row>
    <row r="266" spans="1:13" s="278" customFormat="1" ht="13.5">
      <c r="A266" s="107" t="s">
        <v>82</v>
      </c>
      <c r="B266" s="231" t="s">
        <v>740</v>
      </c>
      <c r="C266" s="231" t="s">
        <v>83</v>
      </c>
      <c r="D266" s="265" t="s">
        <v>708</v>
      </c>
      <c r="E266" s="220"/>
      <c r="F266" s="225" t="str">
        <f t="shared" si="25"/>
        <v>G59</v>
      </c>
      <c r="G266" s="220" t="str">
        <f t="shared" si="26"/>
        <v>高田貴代美</v>
      </c>
      <c r="H266" s="266" t="s">
        <v>12</v>
      </c>
      <c r="I266" s="266" t="s">
        <v>1641</v>
      </c>
      <c r="J266" s="267">
        <v>1964</v>
      </c>
      <c r="K266" s="268">
        <f t="shared" si="27"/>
        <v>52</v>
      </c>
      <c r="L266" s="109" t="str">
        <f t="shared" si="28"/>
        <v>OK</v>
      </c>
      <c r="M266" s="232" t="s">
        <v>1350</v>
      </c>
    </row>
    <row r="267" spans="1:13" ht="13.5">
      <c r="A267" s="107" t="s">
        <v>84</v>
      </c>
      <c r="B267" s="107" t="s">
        <v>85</v>
      </c>
      <c r="C267" s="107" t="s">
        <v>86</v>
      </c>
      <c r="D267" s="161" t="s">
        <v>21</v>
      </c>
      <c r="E267" s="108"/>
      <c r="F267" s="109" t="str">
        <f t="shared" si="25"/>
        <v>G60</v>
      </c>
      <c r="G267" s="108" t="str">
        <f t="shared" si="26"/>
        <v>武藤幸宏</v>
      </c>
      <c r="H267" s="116" t="s">
        <v>22</v>
      </c>
      <c r="I267" s="116" t="s">
        <v>81</v>
      </c>
      <c r="J267" s="122">
        <v>1980</v>
      </c>
      <c r="K267" s="119">
        <f t="shared" si="27"/>
        <v>36</v>
      </c>
      <c r="L267" s="109" t="str">
        <f t="shared" si="28"/>
        <v>OK</v>
      </c>
      <c r="M267" s="124" t="s">
        <v>87</v>
      </c>
    </row>
    <row r="268" spans="1:13" ht="13.5">
      <c r="A268" s="107" t="s">
        <v>88</v>
      </c>
      <c r="B268" s="107" t="s">
        <v>89</v>
      </c>
      <c r="C268" s="107" t="s">
        <v>90</v>
      </c>
      <c r="D268" s="161" t="s">
        <v>21</v>
      </c>
      <c r="E268" s="108"/>
      <c r="F268" s="109" t="str">
        <f t="shared" si="25"/>
        <v>G61</v>
      </c>
      <c r="G268" s="108" t="str">
        <f t="shared" si="26"/>
        <v>小出周平</v>
      </c>
      <c r="H268" s="116" t="s">
        <v>22</v>
      </c>
      <c r="I268" s="116" t="s">
        <v>81</v>
      </c>
      <c r="J268" s="122">
        <v>1987</v>
      </c>
      <c r="K268" s="119">
        <f t="shared" si="27"/>
        <v>29</v>
      </c>
      <c r="L268" s="109" t="str">
        <f t="shared" si="28"/>
        <v>OK</v>
      </c>
      <c r="M268" s="124" t="s">
        <v>824</v>
      </c>
    </row>
    <row r="269" spans="1:13" ht="13.5">
      <c r="A269" s="107" t="s">
        <v>91</v>
      </c>
      <c r="B269" s="107" t="s">
        <v>92</v>
      </c>
      <c r="C269" s="107" t="s">
        <v>93</v>
      </c>
      <c r="D269" s="161" t="s">
        <v>704</v>
      </c>
      <c r="E269" s="108"/>
      <c r="F269" s="109" t="str">
        <f t="shared" si="25"/>
        <v>G62</v>
      </c>
      <c r="G269" s="108" t="str">
        <f t="shared" si="26"/>
        <v>中根啓伍</v>
      </c>
      <c r="H269" s="116" t="s">
        <v>15</v>
      </c>
      <c r="I269" s="116" t="s">
        <v>81</v>
      </c>
      <c r="J269" s="122">
        <v>1993</v>
      </c>
      <c r="K269" s="119">
        <f t="shared" si="27"/>
        <v>23</v>
      </c>
      <c r="L269" s="109" t="str">
        <f t="shared" si="28"/>
        <v>OK</v>
      </c>
      <c r="M269" s="124" t="s">
        <v>824</v>
      </c>
    </row>
    <row r="270" spans="1:13" s="278" customFormat="1" ht="13.5">
      <c r="A270" s="107" t="s">
        <v>94</v>
      </c>
      <c r="B270" s="231" t="s">
        <v>95</v>
      </c>
      <c r="C270" s="231" t="s">
        <v>96</v>
      </c>
      <c r="D270" s="265" t="s">
        <v>703</v>
      </c>
      <c r="E270" s="220"/>
      <c r="F270" s="225" t="str">
        <f t="shared" si="25"/>
        <v>G63</v>
      </c>
      <c r="G270" s="220" t="str">
        <f t="shared" si="26"/>
        <v>森田千瑛</v>
      </c>
      <c r="H270" s="266" t="s">
        <v>17</v>
      </c>
      <c r="I270" s="266" t="s">
        <v>1329</v>
      </c>
      <c r="J270" s="267">
        <v>1987</v>
      </c>
      <c r="K270" s="268">
        <f t="shared" si="27"/>
        <v>29</v>
      </c>
      <c r="L270" s="109" t="str">
        <f t="shared" si="28"/>
        <v>OK</v>
      </c>
      <c r="M270" s="269" t="s">
        <v>824</v>
      </c>
    </row>
    <row r="271" spans="1:13" s="278" customFormat="1" ht="13.5">
      <c r="A271" s="107" t="s">
        <v>97</v>
      </c>
      <c r="B271" s="231" t="s">
        <v>832</v>
      </c>
      <c r="C271" s="231" t="s">
        <v>98</v>
      </c>
      <c r="D271" s="265" t="s">
        <v>703</v>
      </c>
      <c r="E271" s="220"/>
      <c r="F271" s="225" t="str">
        <f t="shared" si="25"/>
        <v>G64</v>
      </c>
      <c r="G271" s="220" t="str">
        <f t="shared" si="26"/>
        <v>吉村安梨佐</v>
      </c>
      <c r="H271" s="266" t="s">
        <v>17</v>
      </c>
      <c r="I271" s="266" t="s">
        <v>1329</v>
      </c>
      <c r="J271" s="267">
        <v>1986</v>
      </c>
      <c r="K271" s="268">
        <f t="shared" si="27"/>
        <v>30</v>
      </c>
      <c r="L271" s="109" t="str">
        <f t="shared" si="28"/>
        <v>OK</v>
      </c>
      <c r="M271" s="269" t="s">
        <v>824</v>
      </c>
    </row>
    <row r="272" spans="1:13" s="278" customFormat="1" ht="13.5">
      <c r="A272" s="107" t="s">
        <v>99</v>
      </c>
      <c r="B272" s="231" t="s">
        <v>1291</v>
      </c>
      <c r="C272" s="231" t="s">
        <v>1344</v>
      </c>
      <c r="D272" s="265" t="s">
        <v>21</v>
      </c>
      <c r="E272" s="220"/>
      <c r="F272" s="225" t="str">
        <f aca="true" t="shared" si="29" ref="F272:F283">A272</f>
        <v>G65</v>
      </c>
      <c r="G272" s="220" t="str">
        <f aca="true" t="shared" si="30" ref="G272:G283">B272&amp;C272</f>
        <v>岩崎順子</v>
      </c>
      <c r="H272" s="266" t="s">
        <v>22</v>
      </c>
      <c r="I272" s="266" t="s">
        <v>100</v>
      </c>
      <c r="J272" s="267">
        <v>1977</v>
      </c>
      <c r="K272" s="268">
        <f t="shared" si="27"/>
        <v>39</v>
      </c>
      <c r="L272" s="109" t="str">
        <f t="shared" si="28"/>
        <v>OK</v>
      </c>
      <c r="M272" s="269" t="s">
        <v>824</v>
      </c>
    </row>
    <row r="273" spans="1:13" s="278" customFormat="1" ht="13.5">
      <c r="A273" s="107" t="s">
        <v>101</v>
      </c>
      <c r="B273" s="231" t="s">
        <v>102</v>
      </c>
      <c r="C273" s="231" t="s">
        <v>103</v>
      </c>
      <c r="D273" s="265" t="s">
        <v>703</v>
      </c>
      <c r="E273" s="220"/>
      <c r="F273" s="225" t="str">
        <f t="shared" si="29"/>
        <v>G66</v>
      </c>
      <c r="G273" s="220" t="str">
        <f t="shared" si="30"/>
        <v>太田恵莉</v>
      </c>
      <c r="H273" s="266" t="s">
        <v>17</v>
      </c>
      <c r="I273" s="266" t="s">
        <v>1329</v>
      </c>
      <c r="J273" s="267">
        <v>1988</v>
      </c>
      <c r="K273" s="268">
        <f t="shared" si="27"/>
        <v>28</v>
      </c>
      <c r="L273" s="109" t="str">
        <f t="shared" si="28"/>
        <v>OK</v>
      </c>
      <c r="M273" s="269" t="s">
        <v>1322</v>
      </c>
    </row>
    <row r="274" spans="1:13" s="278" customFormat="1" ht="13.5">
      <c r="A274" s="107" t="s">
        <v>104</v>
      </c>
      <c r="B274" s="231" t="s">
        <v>1549</v>
      </c>
      <c r="C274" s="231" t="s">
        <v>105</v>
      </c>
      <c r="D274" s="265" t="s">
        <v>708</v>
      </c>
      <c r="E274" s="220"/>
      <c r="F274" s="225" t="str">
        <f t="shared" si="29"/>
        <v>G67</v>
      </c>
      <c r="G274" s="220" t="str">
        <f t="shared" si="30"/>
        <v>岡本良美</v>
      </c>
      <c r="H274" s="266" t="s">
        <v>12</v>
      </c>
      <c r="I274" s="266" t="s">
        <v>1641</v>
      </c>
      <c r="J274" s="267">
        <v>1985</v>
      </c>
      <c r="K274" s="268">
        <f t="shared" si="27"/>
        <v>31</v>
      </c>
      <c r="L274" s="109" t="str">
        <f t="shared" si="28"/>
        <v>OK</v>
      </c>
      <c r="M274" s="269" t="s">
        <v>709</v>
      </c>
    </row>
    <row r="275" spans="1:13" s="278" customFormat="1" ht="13.5">
      <c r="A275" s="107" t="s">
        <v>106</v>
      </c>
      <c r="B275" s="231" t="s">
        <v>107</v>
      </c>
      <c r="C275" s="231" t="s">
        <v>108</v>
      </c>
      <c r="D275" s="265" t="s">
        <v>704</v>
      </c>
      <c r="E275" s="220"/>
      <c r="F275" s="225" t="str">
        <f t="shared" si="29"/>
        <v>G68</v>
      </c>
      <c r="G275" s="220" t="str">
        <f t="shared" si="30"/>
        <v>赤谷恵理</v>
      </c>
      <c r="H275" s="266" t="s">
        <v>15</v>
      </c>
      <c r="I275" s="266" t="s">
        <v>803</v>
      </c>
      <c r="J275" s="267">
        <v>1993</v>
      </c>
      <c r="K275" s="268">
        <f aca="true" t="shared" si="31" ref="K275:K283">IF(J275="","",(2016-J275))</f>
        <v>23</v>
      </c>
      <c r="L275" s="109" t="str">
        <f t="shared" si="28"/>
        <v>OK</v>
      </c>
      <c r="M275" s="269" t="s">
        <v>1322</v>
      </c>
    </row>
    <row r="276" spans="1:13" s="278" customFormat="1" ht="13.5">
      <c r="A276" s="107" t="s">
        <v>109</v>
      </c>
      <c r="B276" s="231" t="s">
        <v>110</v>
      </c>
      <c r="C276" s="231" t="s">
        <v>111</v>
      </c>
      <c r="D276" s="265" t="s">
        <v>708</v>
      </c>
      <c r="E276" s="220"/>
      <c r="F276" s="225" t="str">
        <f t="shared" si="29"/>
        <v>G69</v>
      </c>
      <c r="G276" s="220" t="str">
        <f t="shared" si="30"/>
        <v>長田由紀子</v>
      </c>
      <c r="H276" s="266" t="s">
        <v>12</v>
      </c>
      <c r="I276" s="266" t="s">
        <v>1641</v>
      </c>
      <c r="J276" s="267">
        <v>1984</v>
      </c>
      <c r="K276" s="268">
        <f t="shared" si="31"/>
        <v>32</v>
      </c>
      <c r="L276" s="109" t="str">
        <f t="shared" si="28"/>
        <v>OK</v>
      </c>
      <c r="M276" s="269" t="s">
        <v>713</v>
      </c>
    </row>
    <row r="277" spans="1:13" ht="13.5">
      <c r="A277" s="107" t="s">
        <v>112</v>
      </c>
      <c r="B277" s="107" t="s">
        <v>110</v>
      </c>
      <c r="C277" s="107" t="s">
        <v>113</v>
      </c>
      <c r="D277" s="276" t="s">
        <v>21</v>
      </c>
      <c r="E277" s="107"/>
      <c r="F277" s="238" t="str">
        <f t="shared" si="29"/>
        <v>G70</v>
      </c>
      <c r="G277" s="107" t="str">
        <f t="shared" si="30"/>
        <v>長田晃輝</v>
      </c>
      <c r="H277" s="241" t="s">
        <v>22</v>
      </c>
      <c r="I277" s="241" t="s">
        <v>81</v>
      </c>
      <c r="J277" s="164">
        <v>1984</v>
      </c>
      <c r="K277" s="277">
        <f t="shared" si="31"/>
        <v>32</v>
      </c>
      <c r="L277" s="109" t="str">
        <f t="shared" si="28"/>
        <v>OK</v>
      </c>
      <c r="M277" s="170" t="s">
        <v>713</v>
      </c>
    </row>
    <row r="278" spans="1:13" ht="13.5">
      <c r="A278" s="107" t="s">
        <v>114</v>
      </c>
      <c r="B278" s="107" t="s">
        <v>115</v>
      </c>
      <c r="C278" s="107" t="s">
        <v>116</v>
      </c>
      <c r="D278" s="276" t="s">
        <v>703</v>
      </c>
      <c r="E278" s="107"/>
      <c r="F278" s="238" t="str">
        <f t="shared" si="29"/>
        <v>G71</v>
      </c>
      <c r="G278" s="107" t="str">
        <f t="shared" si="30"/>
        <v>岡島宇史</v>
      </c>
      <c r="H278" s="241" t="s">
        <v>17</v>
      </c>
      <c r="I278" s="241" t="s">
        <v>81</v>
      </c>
      <c r="J278" s="164">
        <v>1989</v>
      </c>
      <c r="K278" s="277">
        <f t="shared" si="31"/>
        <v>27</v>
      </c>
      <c r="L278" s="109" t="str">
        <f t="shared" si="28"/>
        <v>OK</v>
      </c>
      <c r="M278" s="170" t="s">
        <v>713</v>
      </c>
    </row>
    <row r="279" spans="1:13" ht="13.5">
      <c r="A279" s="107" t="s">
        <v>117</v>
      </c>
      <c r="B279" s="107" t="s">
        <v>118</v>
      </c>
      <c r="C279" s="107" t="s">
        <v>119</v>
      </c>
      <c r="D279" s="276" t="s">
        <v>21</v>
      </c>
      <c r="E279" s="107"/>
      <c r="F279" s="238" t="str">
        <f t="shared" si="29"/>
        <v>G72</v>
      </c>
      <c r="G279" s="107" t="str">
        <f t="shared" si="30"/>
        <v>小林一成</v>
      </c>
      <c r="H279" s="241" t="s">
        <v>22</v>
      </c>
      <c r="I279" s="241" t="s">
        <v>100</v>
      </c>
      <c r="J279" s="164">
        <v>1982</v>
      </c>
      <c r="K279" s="277">
        <f t="shared" si="31"/>
        <v>34</v>
      </c>
      <c r="L279" s="109" t="str">
        <f t="shared" si="28"/>
        <v>OK</v>
      </c>
      <c r="M279" s="170" t="s">
        <v>823</v>
      </c>
    </row>
    <row r="280" spans="1:13" ht="13.5">
      <c r="A280" s="107" t="s">
        <v>120</v>
      </c>
      <c r="B280" s="231" t="s">
        <v>121</v>
      </c>
      <c r="C280" s="231" t="s">
        <v>122</v>
      </c>
      <c r="D280" s="265" t="s">
        <v>708</v>
      </c>
      <c r="E280" s="220"/>
      <c r="F280" s="225" t="str">
        <f t="shared" si="29"/>
        <v>G73</v>
      </c>
      <c r="G280" s="220" t="str">
        <f t="shared" si="30"/>
        <v>寺山愛子</v>
      </c>
      <c r="H280" s="266" t="s">
        <v>12</v>
      </c>
      <c r="I280" s="266" t="s">
        <v>1641</v>
      </c>
      <c r="J280" s="267">
        <v>1983</v>
      </c>
      <c r="K280" s="268">
        <f t="shared" si="31"/>
        <v>33</v>
      </c>
      <c r="L280" s="109" t="str">
        <f t="shared" si="28"/>
        <v>OK</v>
      </c>
      <c r="M280" s="269" t="s">
        <v>1358</v>
      </c>
    </row>
    <row r="281" spans="1:13" ht="13.5">
      <c r="A281" s="107" t="s">
        <v>123</v>
      </c>
      <c r="B281" s="231" t="s">
        <v>1269</v>
      </c>
      <c r="C281" s="231" t="s">
        <v>124</v>
      </c>
      <c r="D281" s="265" t="s">
        <v>704</v>
      </c>
      <c r="E281" s="220"/>
      <c r="F281" s="225" t="str">
        <f t="shared" si="29"/>
        <v>G74</v>
      </c>
      <c r="G281" s="220" t="str">
        <f t="shared" si="30"/>
        <v>八木郊美</v>
      </c>
      <c r="H281" s="266" t="s">
        <v>15</v>
      </c>
      <c r="I281" s="266" t="s">
        <v>803</v>
      </c>
      <c r="J281" s="267">
        <v>1968</v>
      </c>
      <c r="K281" s="268">
        <f t="shared" si="31"/>
        <v>48</v>
      </c>
      <c r="L281" s="109" t="str">
        <f t="shared" si="28"/>
        <v>OK</v>
      </c>
      <c r="M281" s="269" t="s">
        <v>713</v>
      </c>
    </row>
    <row r="282" spans="1:13" ht="13.5">
      <c r="A282" s="107" t="s">
        <v>125</v>
      </c>
      <c r="B282" s="231" t="s">
        <v>126</v>
      </c>
      <c r="C282" s="231" t="s">
        <v>1250</v>
      </c>
      <c r="D282" s="265" t="s">
        <v>708</v>
      </c>
      <c r="E282" s="220"/>
      <c r="F282" s="225" t="str">
        <f t="shared" si="29"/>
        <v>G75</v>
      </c>
      <c r="G282" s="220" t="str">
        <f t="shared" si="30"/>
        <v>村尾直子</v>
      </c>
      <c r="H282" s="266" t="s">
        <v>12</v>
      </c>
      <c r="I282" s="266" t="s">
        <v>1641</v>
      </c>
      <c r="J282" s="267">
        <v>1977</v>
      </c>
      <c r="K282" s="268">
        <f t="shared" si="31"/>
        <v>39</v>
      </c>
      <c r="L282" s="109" t="str">
        <f t="shared" si="28"/>
        <v>OK</v>
      </c>
      <c r="M282" s="269" t="s">
        <v>713</v>
      </c>
    </row>
    <row r="283" spans="1:13" ht="13.5">
      <c r="A283" s="107" t="s">
        <v>127</v>
      </c>
      <c r="B283" s="231" t="s">
        <v>128</v>
      </c>
      <c r="C283" s="231" t="s">
        <v>129</v>
      </c>
      <c r="D283" s="265" t="s">
        <v>708</v>
      </c>
      <c r="E283" s="220"/>
      <c r="F283" s="225" t="str">
        <f t="shared" si="29"/>
        <v>G76</v>
      </c>
      <c r="G283" s="220" t="str">
        <f t="shared" si="30"/>
        <v>大家香</v>
      </c>
      <c r="H283" s="266" t="s">
        <v>12</v>
      </c>
      <c r="I283" s="266" t="s">
        <v>1641</v>
      </c>
      <c r="J283" s="267">
        <v>1966</v>
      </c>
      <c r="K283" s="268">
        <f t="shared" si="31"/>
        <v>50</v>
      </c>
      <c r="L283" s="109" t="str">
        <f t="shared" si="28"/>
        <v>OK</v>
      </c>
      <c r="M283" s="269" t="s">
        <v>713</v>
      </c>
    </row>
    <row r="284" spans="7:13" ht="13.5">
      <c r="G284" s="279"/>
      <c r="H284" s="279"/>
      <c r="I284" s="279"/>
      <c r="J284" s="279"/>
      <c r="K284" s="279"/>
      <c r="L284" s="279"/>
      <c r="M284" s="279"/>
    </row>
    <row r="285" spans="1:13" ht="13.5">
      <c r="A285" s="231"/>
      <c r="D285" s="276"/>
      <c r="F285" s="238"/>
      <c r="H285" s="241"/>
      <c r="I285" s="241"/>
      <c r="J285" s="164"/>
      <c r="K285" s="277"/>
      <c r="M285" s="170"/>
    </row>
    <row r="286" spans="1:13" ht="13.5">
      <c r="A286" s="231"/>
      <c r="B286" s="107" t="s">
        <v>130</v>
      </c>
      <c r="C286" s="107" t="s">
        <v>131</v>
      </c>
      <c r="D286" s="276" t="s">
        <v>132</v>
      </c>
      <c r="F286" s="238"/>
      <c r="H286" s="241"/>
      <c r="I286" s="241"/>
      <c r="J286" s="164"/>
      <c r="K286" s="277"/>
      <c r="M286" s="170"/>
    </row>
    <row r="287" spans="4:13" ht="13.5">
      <c r="D287" s="161"/>
      <c r="F287" s="109"/>
      <c r="H287" s="116"/>
      <c r="I287" s="116"/>
      <c r="J287" s="122"/>
      <c r="K287" s="119"/>
      <c r="L287" s="109">
        <f>IF(G287="","",IF(COUNTIF($G$24:$G$617,G287)&gt;1,"2重登録","OK"))</f>
      </c>
      <c r="M287" s="107"/>
    </row>
    <row r="288" spans="2:12" ht="13.5">
      <c r="B288" s="108"/>
      <c r="C288" s="108"/>
      <c r="D288" s="108"/>
      <c r="F288" s="109"/>
      <c r="K288" s="119"/>
      <c r="L288" s="109">
        <f>IF(G288="","",IF(COUNTIF($G$24:$G$617,G288)&gt;1,"2重登録","OK"))</f>
      </c>
    </row>
    <row r="289" spans="2:12" ht="13.5">
      <c r="B289" s="108"/>
      <c r="C289" s="108"/>
      <c r="D289" s="108"/>
      <c r="F289" s="109"/>
      <c r="K289" s="119"/>
      <c r="L289" s="109">
        <f>IF(G289="","",IF(COUNTIF($G$24:$G$617,G289)&gt;1,"2重登録","OK"))</f>
      </c>
    </row>
    <row r="290" spans="2:12" ht="13.5">
      <c r="B290" s="661" t="s">
        <v>133</v>
      </c>
      <c r="C290" s="661"/>
      <c r="D290" s="671" t="s">
        <v>134</v>
      </c>
      <c r="E290" s="671"/>
      <c r="F290" s="671"/>
      <c r="G290" s="671"/>
      <c r="H290" s="669" t="s">
        <v>1488</v>
      </c>
      <c r="I290" s="669"/>
      <c r="L290" s="109">
        <f>IF(G290="","",IF(COUNTIF($G$24:$G$617,G290)&gt;1,"2重登録","OK"))</f>
      </c>
    </row>
    <row r="291" spans="2:12" ht="13.5">
      <c r="B291" s="661"/>
      <c r="C291" s="661"/>
      <c r="D291" s="671"/>
      <c r="E291" s="671"/>
      <c r="F291" s="671"/>
      <c r="G291" s="671"/>
      <c r="H291" s="669"/>
      <c r="I291" s="669"/>
      <c r="L291" s="109">
        <f>IF(G291="","",IF(COUNTIF($G$24:$G$617,G291)&gt;1,"2重登録","OK"))</f>
      </c>
    </row>
    <row r="292" spans="4:12" ht="13.5">
      <c r="D292" s="108"/>
      <c r="F292" s="109"/>
      <c r="G292" s="107" t="s">
        <v>1537</v>
      </c>
      <c r="H292" s="658" t="s">
        <v>1538</v>
      </c>
      <c r="I292" s="658"/>
      <c r="J292" s="658"/>
      <c r="K292" s="109"/>
      <c r="L292" s="109"/>
    </row>
    <row r="293" spans="2:12" ht="13.5" customHeight="1">
      <c r="B293" s="658" t="s">
        <v>1074</v>
      </c>
      <c r="C293" s="658"/>
      <c r="D293" s="142" t="s">
        <v>1430</v>
      </c>
      <c r="F293" s="109"/>
      <c r="G293" s="141">
        <f>COUNTIF($M$295:$M$344,"東近江市")</f>
        <v>19</v>
      </c>
      <c r="H293" s="664">
        <f>(G293/RIGHT(A344,2))</f>
        <v>0.38</v>
      </c>
      <c r="I293" s="664"/>
      <c r="J293" s="664"/>
      <c r="K293" s="109"/>
      <c r="L293" s="109"/>
    </row>
    <row r="294" spans="2:12" ht="13.5" customHeight="1">
      <c r="B294" s="107" t="s">
        <v>1073</v>
      </c>
      <c r="C294" s="193"/>
      <c r="D294" s="136" t="s">
        <v>1429</v>
      </c>
      <c r="E294" s="136"/>
      <c r="F294" s="136"/>
      <c r="G294" s="141"/>
      <c r="I294" s="192"/>
      <c r="J294" s="192"/>
      <c r="K294" s="109"/>
      <c r="L294" s="109">
        <f aca="true" t="shared" si="32" ref="L294:L325">IF(G294="","",IF(COUNTIF($G$24:$G$617,G294)&gt;1,"2重登録","OK"))</f>
      </c>
    </row>
    <row r="295" spans="1:13" ht="13.5">
      <c r="A295" s="107" t="s">
        <v>1072</v>
      </c>
      <c r="B295" s="108" t="s">
        <v>1079</v>
      </c>
      <c r="C295" s="108" t="s">
        <v>1080</v>
      </c>
      <c r="D295" s="107" t="s">
        <v>1073</v>
      </c>
      <c r="F295" s="107" t="str">
        <f>A295</f>
        <v>K01</v>
      </c>
      <c r="G295" s="107" t="str">
        <f aca="true" t="shared" si="33" ref="G295:G344">B295&amp;C295</f>
        <v>小笠原光雄</v>
      </c>
      <c r="H295" s="111" t="s">
        <v>1074</v>
      </c>
      <c r="I295" s="111" t="s">
        <v>1214</v>
      </c>
      <c r="J295" s="121">
        <v>1963</v>
      </c>
      <c r="K295" s="119">
        <f>IF(J295="","",(2016-J295))</f>
        <v>53</v>
      </c>
      <c r="L295" s="109" t="str">
        <f t="shared" si="32"/>
        <v>OK</v>
      </c>
      <c r="M295" s="113" t="s">
        <v>135</v>
      </c>
    </row>
    <row r="296" spans="1:13" ht="13.5">
      <c r="A296" s="108" t="s">
        <v>864</v>
      </c>
      <c r="B296" s="110" t="s">
        <v>136</v>
      </c>
      <c r="C296" s="110" t="s">
        <v>137</v>
      </c>
      <c r="D296" s="107" t="s">
        <v>1073</v>
      </c>
      <c r="E296" s="107" t="s">
        <v>138</v>
      </c>
      <c r="F296" s="107" t="str">
        <f>A296</f>
        <v>K02</v>
      </c>
      <c r="G296" s="107" t="str">
        <f t="shared" si="33"/>
        <v>川上悠作</v>
      </c>
      <c r="H296" s="111" t="s">
        <v>1074</v>
      </c>
      <c r="I296" s="111" t="s">
        <v>1214</v>
      </c>
      <c r="J296" s="121">
        <v>2000</v>
      </c>
      <c r="K296" s="119">
        <f aca="true" t="shared" si="34" ref="K296:K344">IF(J296="","",(2016-J296))</f>
        <v>16</v>
      </c>
      <c r="L296" s="109" t="str">
        <f t="shared" si="32"/>
        <v>OK</v>
      </c>
      <c r="M296" s="113" t="s">
        <v>135</v>
      </c>
    </row>
    <row r="297" spans="1:13" ht="13.5">
      <c r="A297" s="108" t="s">
        <v>1075</v>
      </c>
      <c r="B297" s="108" t="s">
        <v>1082</v>
      </c>
      <c r="C297" s="108" t="s">
        <v>1083</v>
      </c>
      <c r="D297" s="107" t="s">
        <v>1073</v>
      </c>
      <c r="F297" s="107" t="str">
        <f aca="true" t="shared" si="35" ref="F297:F344">A297</f>
        <v>K03</v>
      </c>
      <c r="G297" s="107" t="str">
        <f t="shared" si="33"/>
        <v>川並和之</v>
      </c>
      <c r="H297" s="111" t="s">
        <v>1074</v>
      </c>
      <c r="I297" s="111" t="s">
        <v>1214</v>
      </c>
      <c r="J297" s="121">
        <v>1959</v>
      </c>
      <c r="K297" s="119">
        <f t="shared" si="34"/>
        <v>57</v>
      </c>
      <c r="L297" s="109" t="str">
        <f t="shared" si="32"/>
        <v>OK</v>
      </c>
      <c r="M297" s="113" t="s">
        <v>135</v>
      </c>
    </row>
    <row r="298" spans="1:13" ht="13.5">
      <c r="A298" s="108" t="s">
        <v>1076</v>
      </c>
      <c r="B298" s="108" t="s">
        <v>1085</v>
      </c>
      <c r="C298" s="108" t="s">
        <v>1086</v>
      </c>
      <c r="D298" s="107" t="s">
        <v>1073</v>
      </c>
      <c r="E298" s="107" t="s">
        <v>138</v>
      </c>
      <c r="F298" s="107" t="str">
        <f t="shared" si="35"/>
        <v>K04</v>
      </c>
      <c r="G298" s="107" t="str">
        <f t="shared" si="33"/>
        <v>菊居龍之介</v>
      </c>
      <c r="H298" s="111" t="s">
        <v>1074</v>
      </c>
      <c r="I298" s="111" t="s">
        <v>1214</v>
      </c>
      <c r="J298" s="121">
        <v>1997</v>
      </c>
      <c r="K298" s="119">
        <f t="shared" si="34"/>
        <v>19</v>
      </c>
      <c r="L298" s="109" t="str">
        <f t="shared" si="32"/>
        <v>OK</v>
      </c>
      <c r="M298" s="107" t="s">
        <v>139</v>
      </c>
    </row>
    <row r="299" spans="1:13" ht="13.5">
      <c r="A299" s="108" t="s">
        <v>1077</v>
      </c>
      <c r="B299" s="108" t="s">
        <v>911</v>
      </c>
      <c r="C299" s="108" t="s">
        <v>972</v>
      </c>
      <c r="D299" s="107" t="s">
        <v>1073</v>
      </c>
      <c r="F299" s="107" t="str">
        <f t="shared" si="35"/>
        <v>K05</v>
      </c>
      <c r="G299" s="107" t="str">
        <f t="shared" si="33"/>
        <v>木村善和</v>
      </c>
      <c r="H299" s="111" t="s">
        <v>1074</v>
      </c>
      <c r="I299" s="111" t="s">
        <v>1214</v>
      </c>
      <c r="J299" s="121">
        <v>1962</v>
      </c>
      <c r="K299" s="119">
        <f t="shared" si="34"/>
        <v>54</v>
      </c>
      <c r="L299" s="109" t="str">
        <f t="shared" si="32"/>
        <v>OK</v>
      </c>
      <c r="M299" s="107" t="s">
        <v>140</v>
      </c>
    </row>
    <row r="300" spans="1:13" ht="13.5">
      <c r="A300" s="108" t="s">
        <v>1078</v>
      </c>
      <c r="B300" s="108" t="s">
        <v>923</v>
      </c>
      <c r="C300" s="108" t="s">
        <v>1091</v>
      </c>
      <c r="D300" s="107" t="s">
        <v>1073</v>
      </c>
      <c r="F300" s="107" t="str">
        <f t="shared" si="35"/>
        <v>K06</v>
      </c>
      <c r="G300" s="107" t="str">
        <f t="shared" si="33"/>
        <v>竹村　治</v>
      </c>
      <c r="H300" s="111" t="s">
        <v>1074</v>
      </c>
      <c r="I300" s="111" t="s">
        <v>1214</v>
      </c>
      <c r="J300" s="121">
        <v>1961</v>
      </c>
      <c r="K300" s="119">
        <f t="shared" si="34"/>
        <v>55</v>
      </c>
      <c r="L300" s="109" t="str">
        <f t="shared" si="32"/>
        <v>OK</v>
      </c>
      <c r="M300" s="107" t="s">
        <v>141</v>
      </c>
    </row>
    <row r="301" spans="1:13" ht="13.5">
      <c r="A301" s="108" t="s">
        <v>1081</v>
      </c>
      <c r="B301" s="108" t="s">
        <v>877</v>
      </c>
      <c r="C301" s="108" t="s">
        <v>1094</v>
      </c>
      <c r="D301" s="107" t="s">
        <v>1073</v>
      </c>
      <c r="F301" s="107" t="str">
        <f t="shared" si="35"/>
        <v>K07</v>
      </c>
      <c r="G301" s="107" t="str">
        <f t="shared" si="33"/>
        <v>坪田真嘉</v>
      </c>
      <c r="H301" s="111" t="s">
        <v>1074</v>
      </c>
      <c r="I301" s="111" t="s">
        <v>1214</v>
      </c>
      <c r="J301" s="121">
        <v>1976</v>
      </c>
      <c r="K301" s="119">
        <f t="shared" si="34"/>
        <v>40</v>
      </c>
      <c r="L301" s="109" t="str">
        <f t="shared" si="32"/>
        <v>OK</v>
      </c>
      <c r="M301" s="113" t="s">
        <v>135</v>
      </c>
    </row>
    <row r="302" spans="1:13" ht="13.5">
      <c r="A302" s="108" t="s">
        <v>1084</v>
      </c>
      <c r="B302" s="108" t="s">
        <v>1097</v>
      </c>
      <c r="C302" s="108" t="s">
        <v>1098</v>
      </c>
      <c r="D302" s="107" t="s">
        <v>1073</v>
      </c>
      <c r="F302" s="107" t="str">
        <f t="shared" si="35"/>
        <v>K08</v>
      </c>
      <c r="G302" s="107" t="str">
        <f t="shared" si="33"/>
        <v>永里裕次</v>
      </c>
      <c r="H302" s="111" t="s">
        <v>1074</v>
      </c>
      <c r="I302" s="111" t="s">
        <v>1214</v>
      </c>
      <c r="J302" s="121">
        <v>1979</v>
      </c>
      <c r="K302" s="119">
        <f t="shared" si="34"/>
        <v>37</v>
      </c>
      <c r="L302" s="109" t="str">
        <f t="shared" si="32"/>
        <v>OK</v>
      </c>
      <c r="M302" s="107" t="s">
        <v>142</v>
      </c>
    </row>
    <row r="303" spans="1:13" ht="13.5">
      <c r="A303" s="108" t="s">
        <v>1087</v>
      </c>
      <c r="B303" s="108" t="s">
        <v>879</v>
      </c>
      <c r="C303" s="108" t="s">
        <v>1100</v>
      </c>
      <c r="D303" s="107" t="s">
        <v>1073</v>
      </c>
      <c r="F303" s="107" t="str">
        <f t="shared" si="35"/>
        <v>K09</v>
      </c>
      <c r="G303" s="107" t="str">
        <f t="shared" si="33"/>
        <v>中村喜彦</v>
      </c>
      <c r="H303" s="111" t="s">
        <v>1074</v>
      </c>
      <c r="I303" s="111" t="s">
        <v>1214</v>
      </c>
      <c r="J303" s="121">
        <v>1957</v>
      </c>
      <c r="K303" s="119">
        <f t="shared" si="34"/>
        <v>59</v>
      </c>
      <c r="L303" s="109" t="str">
        <f t="shared" si="32"/>
        <v>OK</v>
      </c>
      <c r="M303" s="113" t="s">
        <v>135</v>
      </c>
    </row>
    <row r="304" spans="1:13" ht="13.5">
      <c r="A304" s="108" t="s">
        <v>1088</v>
      </c>
      <c r="B304" s="108" t="s">
        <v>143</v>
      </c>
      <c r="C304" s="108" t="s">
        <v>144</v>
      </c>
      <c r="D304" s="107" t="s">
        <v>1073</v>
      </c>
      <c r="F304" s="107" t="str">
        <f t="shared" si="35"/>
        <v>K10</v>
      </c>
      <c r="G304" s="107" t="str">
        <f t="shared" si="33"/>
        <v>中村浩之</v>
      </c>
      <c r="H304" s="111" t="s">
        <v>1074</v>
      </c>
      <c r="I304" s="111" t="s">
        <v>1214</v>
      </c>
      <c r="J304" s="121">
        <v>1981</v>
      </c>
      <c r="K304" s="119">
        <f t="shared" si="34"/>
        <v>35</v>
      </c>
      <c r="L304" s="109" t="str">
        <f t="shared" si="32"/>
        <v>OK</v>
      </c>
      <c r="M304" s="113" t="s">
        <v>135</v>
      </c>
    </row>
    <row r="305" spans="1:13" ht="13.5">
      <c r="A305" s="108" t="s">
        <v>1089</v>
      </c>
      <c r="B305" s="108" t="s">
        <v>1103</v>
      </c>
      <c r="C305" s="108" t="s">
        <v>1104</v>
      </c>
      <c r="D305" s="107" t="s">
        <v>1073</v>
      </c>
      <c r="F305" s="107" t="str">
        <f t="shared" si="35"/>
        <v>K11</v>
      </c>
      <c r="G305" s="107" t="str">
        <f t="shared" si="33"/>
        <v>宮嶋利行</v>
      </c>
      <c r="H305" s="111" t="s">
        <v>1074</v>
      </c>
      <c r="I305" s="111" t="s">
        <v>1214</v>
      </c>
      <c r="J305" s="121">
        <v>1961</v>
      </c>
      <c r="K305" s="119">
        <f t="shared" si="34"/>
        <v>55</v>
      </c>
      <c r="L305" s="109" t="str">
        <f t="shared" si="32"/>
        <v>OK</v>
      </c>
      <c r="M305" s="107" t="s">
        <v>139</v>
      </c>
    </row>
    <row r="306" spans="1:13" ht="13.5">
      <c r="A306" s="108" t="s">
        <v>1090</v>
      </c>
      <c r="B306" s="108" t="s">
        <v>904</v>
      </c>
      <c r="C306" s="108" t="s">
        <v>1108</v>
      </c>
      <c r="D306" s="107" t="s">
        <v>1073</v>
      </c>
      <c r="F306" s="107" t="str">
        <f t="shared" si="35"/>
        <v>K12</v>
      </c>
      <c r="G306" s="107" t="str">
        <f t="shared" si="33"/>
        <v>山口直彦</v>
      </c>
      <c r="H306" s="111" t="s">
        <v>1074</v>
      </c>
      <c r="I306" s="111" t="s">
        <v>1214</v>
      </c>
      <c r="J306" s="121">
        <v>1986</v>
      </c>
      <c r="K306" s="119">
        <f t="shared" si="34"/>
        <v>30</v>
      </c>
      <c r="L306" s="109" t="str">
        <f t="shared" si="32"/>
        <v>OK</v>
      </c>
      <c r="M306" s="113" t="s">
        <v>135</v>
      </c>
    </row>
    <row r="307" spans="1:13" ht="13.5">
      <c r="A307" s="108" t="s">
        <v>1092</v>
      </c>
      <c r="B307" s="108" t="s">
        <v>904</v>
      </c>
      <c r="C307" s="108" t="s">
        <v>1110</v>
      </c>
      <c r="D307" s="107" t="s">
        <v>1073</v>
      </c>
      <c r="F307" s="107" t="str">
        <f t="shared" si="35"/>
        <v>K13</v>
      </c>
      <c r="G307" s="107" t="str">
        <f t="shared" si="33"/>
        <v>山口真彦</v>
      </c>
      <c r="H307" s="111" t="s">
        <v>1074</v>
      </c>
      <c r="I307" s="111" t="s">
        <v>1214</v>
      </c>
      <c r="J307" s="121">
        <v>1988</v>
      </c>
      <c r="K307" s="119">
        <f t="shared" si="34"/>
        <v>28</v>
      </c>
      <c r="L307" s="109" t="str">
        <f t="shared" si="32"/>
        <v>OK</v>
      </c>
      <c r="M307" s="113" t="s">
        <v>135</v>
      </c>
    </row>
    <row r="308" spans="1:13" ht="13.5">
      <c r="A308" s="108" t="s">
        <v>1093</v>
      </c>
      <c r="B308" s="108" t="s">
        <v>1245</v>
      </c>
      <c r="C308" s="108" t="s">
        <v>1539</v>
      </c>
      <c r="D308" s="107" t="s">
        <v>1073</v>
      </c>
      <c r="F308" s="107" t="str">
        <f t="shared" si="35"/>
        <v>K14</v>
      </c>
      <c r="G308" s="107" t="str">
        <f t="shared" si="33"/>
        <v>山本健治</v>
      </c>
      <c r="H308" s="111" t="s">
        <v>1074</v>
      </c>
      <c r="I308" s="111" t="s">
        <v>1214</v>
      </c>
      <c r="J308" s="121">
        <v>1971</v>
      </c>
      <c r="K308" s="119">
        <f t="shared" si="34"/>
        <v>45</v>
      </c>
      <c r="L308" s="109" t="str">
        <f t="shared" si="32"/>
        <v>OK</v>
      </c>
      <c r="M308" s="107" t="s">
        <v>145</v>
      </c>
    </row>
    <row r="309" spans="1:13" ht="13.5">
      <c r="A309" s="108" t="s">
        <v>1095</v>
      </c>
      <c r="B309" s="113" t="s">
        <v>1116</v>
      </c>
      <c r="C309" s="113" t="s">
        <v>1117</v>
      </c>
      <c r="D309" s="107" t="s">
        <v>1073</v>
      </c>
      <c r="F309" s="107" t="str">
        <f t="shared" si="35"/>
        <v>K15</v>
      </c>
      <c r="G309" s="108" t="str">
        <f t="shared" si="33"/>
        <v>石原はる美</v>
      </c>
      <c r="H309" s="111" t="s">
        <v>1074</v>
      </c>
      <c r="I309" s="114" t="s">
        <v>1215</v>
      </c>
      <c r="J309" s="121">
        <v>1964</v>
      </c>
      <c r="K309" s="119">
        <f t="shared" si="34"/>
        <v>52</v>
      </c>
      <c r="L309" s="109" t="str">
        <f t="shared" si="32"/>
        <v>OK</v>
      </c>
      <c r="M309" s="113" t="s">
        <v>146</v>
      </c>
    </row>
    <row r="310" spans="1:13" ht="13.5">
      <c r="A310" s="108" t="s">
        <v>1096</v>
      </c>
      <c r="B310" s="113" t="s">
        <v>1079</v>
      </c>
      <c r="C310" s="113" t="s">
        <v>1121</v>
      </c>
      <c r="D310" s="107" t="s">
        <v>1073</v>
      </c>
      <c r="F310" s="107" t="str">
        <f t="shared" si="35"/>
        <v>K16</v>
      </c>
      <c r="G310" s="108" t="str">
        <f t="shared" si="33"/>
        <v>小笠原容子</v>
      </c>
      <c r="H310" s="111" t="s">
        <v>1074</v>
      </c>
      <c r="I310" s="114" t="s">
        <v>1215</v>
      </c>
      <c r="J310" s="121">
        <v>1964</v>
      </c>
      <c r="K310" s="119">
        <f t="shared" si="34"/>
        <v>52</v>
      </c>
      <c r="L310" s="109" t="str">
        <f t="shared" si="32"/>
        <v>OK</v>
      </c>
      <c r="M310" s="113" t="s">
        <v>146</v>
      </c>
    </row>
    <row r="311" spans="1:13" ht="13.5">
      <c r="A311" s="108" t="s">
        <v>1099</v>
      </c>
      <c r="B311" s="113" t="s">
        <v>1122</v>
      </c>
      <c r="C311" s="113" t="s">
        <v>1123</v>
      </c>
      <c r="D311" s="107" t="s">
        <v>1073</v>
      </c>
      <c r="F311" s="107" t="str">
        <f t="shared" si="35"/>
        <v>K17</v>
      </c>
      <c r="G311" s="108" t="str">
        <f t="shared" si="33"/>
        <v>梶木和子</v>
      </c>
      <c r="H311" s="111" t="s">
        <v>1074</v>
      </c>
      <c r="I311" s="114" t="s">
        <v>1215</v>
      </c>
      <c r="J311" s="121">
        <v>1960</v>
      </c>
      <c r="K311" s="119">
        <f t="shared" si="34"/>
        <v>56</v>
      </c>
      <c r="L311" s="109" t="str">
        <f t="shared" si="32"/>
        <v>OK</v>
      </c>
      <c r="M311" s="107" t="s">
        <v>145</v>
      </c>
    </row>
    <row r="312" spans="1:13" ht="13.5">
      <c r="A312" s="108" t="s">
        <v>1101</v>
      </c>
      <c r="B312" s="113" t="s">
        <v>875</v>
      </c>
      <c r="C312" s="113" t="s">
        <v>1124</v>
      </c>
      <c r="D312" s="107" t="s">
        <v>1073</v>
      </c>
      <c r="F312" s="107" t="str">
        <f t="shared" si="35"/>
        <v>K18</v>
      </c>
      <c r="G312" s="108" t="str">
        <f t="shared" si="33"/>
        <v>田中和枝</v>
      </c>
      <c r="H312" s="111" t="s">
        <v>1074</v>
      </c>
      <c r="I312" s="114" t="s">
        <v>1215</v>
      </c>
      <c r="J312" s="121">
        <v>1965</v>
      </c>
      <c r="K312" s="119">
        <f t="shared" si="34"/>
        <v>51</v>
      </c>
      <c r="L312" s="109" t="str">
        <f t="shared" si="32"/>
        <v>OK</v>
      </c>
      <c r="M312" s="113" t="s">
        <v>146</v>
      </c>
    </row>
    <row r="313" spans="1:13" ht="13.5">
      <c r="A313" s="108" t="s">
        <v>1102</v>
      </c>
      <c r="B313" s="113" t="s">
        <v>1125</v>
      </c>
      <c r="C313" s="113" t="s">
        <v>1041</v>
      </c>
      <c r="D313" s="107" t="s">
        <v>1073</v>
      </c>
      <c r="F313" s="107" t="str">
        <f t="shared" si="35"/>
        <v>K19</v>
      </c>
      <c r="G313" s="108" t="str">
        <f t="shared" si="33"/>
        <v>永松貴子</v>
      </c>
      <c r="H313" s="111" t="s">
        <v>1074</v>
      </c>
      <c r="I313" s="114" t="s">
        <v>1215</v>
      </c>
      <c r="J313" s="121">
        <v>1962</v>
      </c>
      <c r="K313" s="119">
        <f t="shared" si="34"/>
        <v>54</v>
      </c>
      <c r="L313" s="109" t="str">
        <f t="shared" si="32"/>
        <v>OK</v>
      </c>
      <c r="M313" s="107" t="s">
        <v>145</v>
      </c>
    </row>
    <row r="314" spans="1:13" ht="13.5">
      <c r="A314" s="108" t="s">
        <v>1105</v>
      </c>
      <c r="B314" s="113" t="s">
        <v>1126</v>
      </c>
      <c r="C314" s="113" t="s">
        <v>1044</v>
      </c>
      <c r="D314" s="107" t="s">
        <v>1073</v>
      </c>
      <c r="F314" s="107" t="str">
        <f t="shared" si="35"/>
        <v>K20</v>
      </c>
      <c r="G314" s="108" t="str">
        <f t="shared" si="33"/>
        <v>福永裕美</v>
      </c>
      <c r="H314" s="111" t="s">
        <v>1074</v>
      </c>
      <c r="I314" s="114" t="s">
        <v>1215</v>
      </c>
      <c r="J314" s="121">
        <v>1963</v>
      </c>
      <c r="K314" s="119">
        <f t="shared" si="34"/>
        <v>53</v>
      </c>
      <c r="L314" s="109" t="str">
        <f t="shared" si="32"/>
        <v>OK</v>
      </c>
      <c r="M314" s="113" t="s">
        <v>146</v>
      </c>
    </row>
    <row r="315" spans="1:13" ht="13.5">
      <c r="A315" s="108" t="s">
        <v>1106</v>
      </c>
      <c r="B315" s="113" t="s">
        <v>147</v>
      </c>
      <c r="C315" s="113" t="s">
        <v>148</v>
      </c>
      <c r="D315" s="107" t="s">
        <v>1073</v>
      </c>
      <c r="F315" s="107" t="str">
        <f t="shared" si="35"/>
        <v>K21</v>
      </c>
      <c r="G315" s="108" t="str">
        <f t="shared" si="33"/>
        <v>山口美由希</v>
      </c>
      <c r="H315" s="111" t="s">
        <v>1074</v>
      </c>
      <c r="I315" s="114" t="s">
        <v>1215</v>
      </c>
      <c r="J315" s="118">
        <v>1989</v>
      </c>
      <c r="K315" s="119">
        <f t="shared" si="34"/>
        <v>27</v>
      </c>
      <c r="L315" s="109" t="str">
        <f t="shared" si="32"/>
        <v>OK</v>
      </c>
      <c r="M315" s="113" t="s">
        <v>146</v>
      </c>
    </row>
    <row r="316" spans="1:13" ht="13.5">
      <c r="A316" s="108" t="s">
        <v>1107</v>
      </c>
      <c r="B316" s="107" t="s">
        <v>149</v>
      </c>
      <c r="C316" s="107" t="s">
        <v>150</v>
      </c>
      <c r="D316" s="107" t="s">
        <v>1073</v>
      </c>
      <c r="E316" s="107" t="s">
        <v>151</v>
      </c>
      <c r="F316" s="107" t="str">
        <f t="shared" si="35"/>
        <v>K22</v>
      </c>
      <c r="G316" s="107" t="str">
        <f t="shared" si="33"/>
        <v>上村悠大</v>
      </c>
      <c r="H316" s="111" t="s">
        <v>1074</v>
      </c>
      <c r="I316" s="111" t="s">
        <v>1252</v>
      </c>
      <c r="J316" s="118">
        <v>2001</v>
      </c>
      <c r="K316" s="119">
        <f t="shared" si="34"/>
        <v>15</v>
      </c>
      <c r="L316" s="109" t="str">
        <f t="shared" si="32"/>
        <v>OK</v>
      </c>
      <c r="M316" s="107" t="s">
        <v>145</v>
      </c>
    </row>
    <row r="317" spans="1:13" ht="13.5">
      <c r="A317" s="108" t="s">
        <v>1109</v>
      </c>
      <c r="B317" s="108" t="s">
        <v>152</v>
      </c>
      <c r="C317" s="108" t="s">
        <v>153</v>
      </c>
      <c r="D317" s="108" t="s">
        <v>1073</v>
      </c>
      <c r="E317" s="108"/>
      <c r="F317" s="107" t="str">
        <f t="shared" si="35"/>
        <v>K23</v>
      </c>
      <c r="G317" s="108" t="str">
        <f t="shared" si="33"/>
        <v>中西勇夫</v>
      </c>
      <c r="H317" s="111" t="s">
        <v>1074</v>
      </c>
      <c r="I317" s="111" t="s">
        <v>1252</v>
      </c>
      <c r="J317" s="121">
        <v>1986</v>
      </c>
      <c r="K317" s="119">
        <f t="shared" si="34"/>
        <v>30</v>
      </c>
      <c r="L317" s="109" t="str">
        <f t="shared" si="32"/>
        <v>OK</v>
      </c>
      <c r="M317" s="113" t="s">
        <v>146</v>
      </c>
    </row>
    <row r="318" spans="1:13" ht="13.5">
      <c r="A318" s="108" t="s">
        <v>1111</v>
      </c>
      <c r="B318" s="108" t="s">
        <v>154</v>
      </c>
      <c r="C318" s="107" t="s">
        <v>155</v>
      </c>
      <c r="D318" s="108" t="s">
        <v>1073</v>
      </c>
      <c r="F318" s="107" t="str">
        <f t="shared" si="35"/>
        <v>K24</v>
      </c>
      <c r="G318" s="107" t="str">
        <f t="shared" si="33"/>
        <v>大島浩範</v>
      </c>
      <c r="H318" s="111" t="s">
        <v>1074</v>
      </c>
      <c r="I318" s="111" t="s">
        <v>1252</v>
      </c>
      <c r="J318" s="118">
        <v>1988</v>
      </c>
      <c r="K318" s="119">
        <f t="shared" si="34"/>
        <v>28</v>
      </c>
      <c r="L318" s="109" t="str">
        <f t="shared" si="32"/>
        <v>OK</v>
      </c>
      <c r="M318" s="107" t="s">
        <v>156</v>
      </c>
    </row>
    <row r="319" spans="1:13" ht="13.5">
      <c r="A319" s="108" t="s">
        <v>1112</v>
      </c>
      <c r="B319" s="107" t="s">
        <v>1307</v>
      </c>
      <c r="C319" s="107" t="s">
        <v>1426</v>
      </c>
      <c r="D319" s="108" t="s">
        <v>1073</v>
      </c>
      <c r="F319" s="107" t="str">
        <f t="shared" si="35"/>
        <v>K25</v>
      </c>
      <c r="G319" s="107" t="str">
        <f t="shared" si="33"/>
        <v>佐藤雅幸</v>
      </c>
      <c r="H319" s="111" t="s">
        <v>1074</v>
      </c>
      <c r="I319" s="111" t="s">
        <v>23</v>
      </c>
      <c r="J319" s="118">
        <v>1978</v>
      </c>
      <c r="K319" s="119">
        <f t="shared" si="34"/>
        <v>38</v>
      </c>
      <c r="L319" s="109" t="str">
        <f t="shared" si="32"/>
        <v>OK</v>
      </c>
      <c r="M319" s="107" t="s">
        <v>157</v>
      </c>
    </row>
    <row r="320" spans="1:13" ht="13.5">
      <c r="A320" s="108" t="s">
        <v>1113</v>
      </c>
      <c r="B320" s="107" t="s">
        <v>158</v>
      </c>
      <c r="C320" s="107" t="s">
        <v>159</v>
      </c>
      <c r="D320" s="108" t="s">
        <v>1073</v>
      </c>
      <c r="F320" s="107" t="str">
        <f t="shared" si="35"/>
        <v>K26</v>
      </c>
      <c r="G320" s="107" t="str">
        <f t="shared" si="33"/>
        <v>上村　武</v>
      </c>
      <c r="H320" s="111" t="s">
        <v>1074</v>
      </c>
      <c r="I320" s="111" t="s">
        <v>23</v>
      </c>
      <c r="J320" s="118">
        <v>1978</v>
      </c>
      <c r="K320" s="119">
        <f t="shared" si="34"/>
        <v>38</v>
      </c>
      <c r="L320" s="109" t="str">
        <f t="shared" si="32"/>
        <v>OK</v>
      </c>
      <c r="M320" s="107" t="s">
        <v>157</v>
      </c>
    </row>
    <row r="321" spans="1:13" ht="13.5">
      <c r="A321" s="108" t="s">
        <v>1115</v>
      </c>
      <c r="B321" s="107" t="s">
        <v>644</v>
      </c>
      <c r="C321" s="107" t="s">
        <v>645</v>
      </c>
      <c r="D321" s="108" t="s">
        <v>1073</v>
      </c>
      <c r="F321" s="107" t="str">
        <f t="shared" si="35"/>
        <v>K27</v>
      </c>
      <c r="G321" s="107" t="str">
        <f t="shared" si="33"/>
        <v>西田和教</v>
      </c>
      <c r="H321" s="111" t="s">
        <v>1074</v>
      </c>
      <c r="I321" s="111" t="s">
        <v>23</v>
      </c>
      <c r="J321" s="118">
        <v>1961</v>
      </c>
      <c r="K321" s="119">
        <f t="shared" si="34"/>
        <v>55</v>
      </c>
      <c r="L321" s="109" t="str">
        <f t="shared" si="32"/>
        <v>OK</v>
      </c>
      <c r="M321" s="107" t="s">
        <v>157</v>
      </c>
    </row>
    <row r="322" spans="1:13" ht="13.5">
      <c r="A322" s="108" t="s">
        <v>1118</v>
      </c>
      <c r="B322" s="108" t="s">
        <v>1540</v>
      </c>
      <c r="C322" s="108" t="s">
        <v>1541</v>
      </c>
      <c r="D322" s="108" t="s">
        <v>1073</v>
      </c>
      <c r="F322" s="107" t="str">
        <f t="shared" si="35"/>
        <v>K28</v>
      </c>
      <c r="G322" s="108" t="str">
        <f t="shared" si="33"/>
        <v>川上政治</v>
      </c>
      <c r="H322" s="111" t="s">
        <v>1074</v>
      </c>
      <c r="I322" s="111" t="s">
        <v>23</v>
      </c>
      <c r="J322" s="121">
        <v>1970</v>
      </c>
      <c r="K322" s="119">
        <f t="shared" si="34"/>
        <v>46</v>
      </c>
      <c r="L322" s="109" t="str">
        <f t="shared" si="32"/>
        <v>OK</v>
      </c>
      <c r="M322" s="113" t="s">
        <v>160</v>
      </c>
    </row>
    <row r="323" spans="1:13" ht="13.5">
      <c r="A323" s="108" t="s">
        <v>1119</v>
      </c>
      <c r="B323" s="113" t="s">
        <v>1293</v>
      </c>
      <c r="C323" s="113" t="s">
        <v>1294</v>
      </c>
      <c r="D323" s="108" t="s">
        <v>1073</v>
      </c>
      <c r="F323" s="107" t="str">
        <f t="shared" si="35"/>
        <v>K29</v>
      </c>
      <c r="G323" s="108" t="str">
        <f t="shared" si="33"/>
        <v>布藤江実子</v>
      </c>
      <c r="H323" s="111" t="s">
        <v>1074</v>
      </c>
      <c r="I323" s="114" t="s">
        <v>1409</v>
      </c>
      <c r="J323" s="121">
        <v>1965</v>
      </c>
      <c r="K323" s="119">
        <f t="shared" si="34"/>
        <v>51</v>
      </c>
      <c r="L323" s="109" t="str">
        <f t="shared" si="32"/>
        <v>OK</v>
      </c>
      <c r="M323" s="107" t="s">
        <v>145</v>
      </c>
    </row>
    <row r="324" spans="1:13" ht="13.5">
      <c r="A324" s="108" t="s">
        <v>1120</v>
      </c>
      <c r="B324" s="107" t="s">
        <v>161</v>
      </c>
      <c r="C324" s="107" t="s">
        <v>647</v>
      </c>
      <c r="D324" s="108" t="s">
        <v>1073</v>
      </c>
      <c r="F324" s="107" t="str">
        <f t="shared" si="35"/>
        <v>K30</v>
      </c>
      <c r="G324" s="108" t="str">
        <f t="shared" si="33"/>
        <v>田中　淳</v>
      </c>
      <c r="H324" s="111" t="s">
        <v>1074</v>
      </c>
      <c r="I324" s="111" t="s">
        <v>1252</v>
      </c>
      <c r="J324" s="118">
        <v>1989</v>
      </c>
      <c r="K324" s="119">
        <f t="shared" si="34"/>
        <v>27</v>
      </c>
      <c r="L324" s="109" t="str">
        <f t="shared" si="32"/>
        <v>OK</v>
      </c>
      <c r="M324" s="113" t="s">
        <v>146</v>
      </c>
    </row>
    <row r="325" spans="1:13" ht="13.5">
      <c r="A325" s="108" t="s">
        <v>1480</v>
      </c>
      <c r="B325" s="206" t="s">
        <v>1071</v>
      </c>
      <c r="C325" s="206" t="s">
        <v>1045</v>
      </c>
      <c r="D325" s="108" t="s">
        <v>1073</v>
      </c>
      <c r="E325" s="226"/>
      <c r="F325" s="107" t="str">
        <f t="shared" si="35"/>
        <v>K31</v>
      </c>
      <c r="G325" s="108" t="str">
        <f t="shared" si="33"/>
        <v>川上美弥子</v>
      </c>
      <c r="H325" s="111" t="s">
        <v>1074</v>
      </c>
      <c r="I325" s="242" t="s">
        <v>1641</v>
      </c>
      <c r="J325" s="205">
        <v>1971</v>
      </c>
      <c r="K325" s="119">
        <f t="shared" si="34"/>
        <v>45</v>
      </c>
      <c r="L325" s="109" t="str">
        <f t="shared" si="32"/>
        <v>OK</v>
      </c>
      <c r="M325" s="201" t="s">
        <v>1354</v>
      </c>
    </row>
    <row r="326" spans="1:13" ht="13.5">
      <c r="A326" s="108" t="s">
        <v>1542</v>
      </c>
      <c r="B326" s="107" t="s">
        <v>1543</v>
      </c>
      <c r="C326" s="107" t="s">
        <v>1544</v>
      </c>
      <c r="D326" s="108" t="s">
        <v>1073</v>
      </c>
      <c r="F326" s="107" t="str">
        <f t="shared" si="35"/>
        <v>K32</v>
      </c>
      <c r="G326" s="107" t="str">
        <f t="shared" si="33"/>
        <v>宮村知宏</v>
      </c>
      <c r="H326" s="111" t="s">
        <v>1074</v>
      </c>
      <c r="I326" s="111" t="s">
        <v>23</v>
      </c>
      <c r="J326" s="118">
        <v>1971</v>
      </c>
      <c r="K326" s="119">
        <f t="shared" si="34"/>
        <v>45</v>
      </c>
      <c r="L326" s="109" t="str">
        <f aca="true" t="shared" si="36" ref="L326:L344">IF(G326="","",IF(COUNTIF($G$24:$G$617,G326)&gt;1,"2重登録","OK"))</f>
        <v>OK</v>
      </c>
      <c r="M326" s="107" t="s">
        <v>162</v>
      </c>
    </row>
    <row r="327" spans="1:13" ht="13.5">
      <c r="A327" s="108" t="s">
        <v>1545</v>
      </c>
      <c r="B327" s="107" t="s">
        <v>1546</v>
      </c>
      <c r="C327" s="107" t="s">
        <v>1547</v>
      </c>
      <c r="D327" s="108" t="s">
        <v>1073</v>
      </c>
      <c r="F327" s="107" t="str">
        <f t="shared" si="35"/>
        <v>K33</v>
      </c>
      <c r="G327" s="107" t="str">
        <f t="shared" si="33"/>
        <v>小澤藤信</v>
      </c>
      <c r="H327" s="111" t="s">
        <v>1074</v>
      </c>
      <c r="I327" s="111" t="s">
        <v>23</v>
      </c>
      <c r="J327" s="118">
        <v>1964</v>
      </c>
      <c r="K327" s="119">
        <f t="shared" si="34"/>
        <v>52</v>
      </c>
      <c r="L327" s="109" t="str">
        <f t="shared" si="36"/>
        <v>OK</v>
      </c>
      <c r="M327" s="107" t="s">
        <v>157</v>
      </c>
    </row>
    <row r="328" spans="1:13" ht="13.5">
      <c r="A328" s="108" t="s">
        <v>1548</v>
      </c>
      <c r="B328" s="107" t="s">
        <v>1549</v>
      </c>
      <c r="C328" s="107" t="s">
        <v>1550</v>
      </c>
      <c r="D328" s="108" t="s">
        <v>1073</v>
      </c>
      <c r="F328" s="107" t="str">
        <f t="shared" si="35"/>
        <v>K34</v>
      </c>
      <c r="G328" s="107" t="str">
        <f t="shared" si="33"/>
        <v>岡本大樹</v>
      </c>
      <c r="H328" s="111" t="s">
        <v>1074</v>
      </c>
      <c r="I328" s="111" t="s">
        <v>23</v>
      </c>
      <c r="J328" s="118">
        <v>1982</v>
      </c>
      <c r="K328" s="119">
        <f t="shared" si="34"/>
        <v>34</v>
      </c>
      <c r="L328" s="109" t="str">
        <f t="shared" si="36"/>
        <v>OK</v>
      </c>
      <c r="M328" s="107" t="s">
        <v>1322</v>
      </c>
    </row>
    <row r="329" spans="1:13" ht="13.5">
      <c r="A329" s="108" t="s">
        <v>1551</v>
      </c>
      <c r="B329" s="113" t="s">
        <v>1552</v>
      </c>
      <c r="C329" s="113" t="s">
        <v>1553</v>
      </c>
      <c r="D329" s="108" t="s">
        <v>1073</v>
      </c>
      <c r="F329" s="107" t="str">
        <f t="shared" si="35"/>
        <v>K35</v>
      </c>
      <c r="G329" s="107" t="str">
        <f t="shared" si="33"/>
        <v>池尻陽香</v>
      </c>
      <c r="H329" s="111" t="s">
        <v>1074</v>
      </c>
      <c r="I329" s="242" t="s">
        <v>1641</v>
      </c>
      <c r="J329" s="118">
        <v>1994</v>
      </c>
      <c r="K329" s="119">
        <f t="shared" si="34"/>
        <v>22</v>
      </c>
      <c r="L329" s="109" t="str">
        <f t="shared" si="36"/>
        <v>OK</v>
      </c>
      <c r="M329" s="107" t="s">
        <v>828</v>
      </c>
    </row>
    <row r="330" spans="1:13" ht="13.5">
      <c r="A330" s="108" t="s">
        <v>1554</v>
      </c>
      <c r="B330" s="113" t="s">
        <v>1552</v>
      </c>
      <c r="C330" s="113" t="s">
        <v>1555</v>
      </c>
      <c r="D330" s="108" t="s">
        <v>1073</v>
      </c>
      <c r="F330" s="107" t="str">
        <f t="shared" si="35"/>
        <v>K36</v>
      </c>
      <c r="G330" s="107" t="str">
        <f t="shared" si="33"/>
        <v>池尻姫欧</v>
      </c>
      <c r="H330" s="111" t="s">
        <v>1074</v>
      </c>
      <c r="I330" s="242" t="s">
        <v>1329</v>
      </c>
      <c r="J330" s="118">
        <v>1990</v>
      </c>
      <c r="K330" s="119">
        <f t="shared" si="34"/>
        <v>26</v>
      </c>
      <c r="L330" s="109" t="str">
        <f t="shared" si="36"/>
        <v>OK</v>
      </c>
      <c r="M330" s="107" t="s">
        <v>828</v>
      </c>
    </row>
    <row r="331" spans="1:13" ht="13.5">
      <c r="A331" s="108" t="s">
        <v>1556</v>
      </c>
      <c r="B331" s="107" t="s">
        <v>1557</v>
      </c>
      <c r="C331" s="107" t="s">
        <v>452</v>
      </c>
      <c r="D331" s="108" t="s">
        <v>1073</v>
      </c>
      <c r="F331" s="107" t="str">
        <f t="shared" si="35"/>
        <v>K37</v>
      </c>
      <c r="G331" s="107" t="str">
        <f t="shared" si="33"/>
        <v>南 直貴</v>
      </c>
      <c r="H331" s="111" t="s">
        <v>1074</v>
      </c>
      <c r="I331" s="111" t="s">
        <v>23</v>
      </c>
      <c r="J331" s="118">
        <v>1992</v>
      </c>
      <c r="K331" s="119">
        <f t="shared" si="34"/>
        <v>24</v>
      </c>
      <c r="L331" s="109" t="str">
        <f t="shared" si="36"/>
        <v>OK</v>
      </c>
      <c r="M331" s="107" t="s">
        <v>1322</v>
      </c>
    </row>
    <row r="332" spans="1:13" ht="13.5">
      <c r="A332" s="108" t="s">
        <v>453</v>
      </c>
      <c r="B332" s="107" t="s">
        <v>1274</v>
      </c>
      <c r="C332" s="107" t="s">
        <v>454</v>
      </c>
      <c r="D332" s="108" t="s">
        <v>1073</v>
      </c>
      <c r="F332" s="107" t="str">
        <f t="shared" si="35"/>
        <v>K38</v>
      </c>
      <c r="G332" s="107" t="str">
        <f t="shared" si="33"/>
        <v>木村　誠</v>
      </c>
      <c r="H332" s="111" t="s">
        <v>1074</v>
      </c>
      <c r="I332" s="111" t="s">
        <v>1252</v>
      </c>
      <c r="J332" s="118">
        <v>1968</v>
      </c>
      <c r="K332" s="118">
        <f t="shared" si="34"/>
        <v>48</v>
      </c>
      <c r="L332" s="109" t="str">
        <f t="shared" si="36"/>
        <v>OK</v>
      </c>
      <c r="M332" s="107" t="s">
        <v>156</v>
      </c>
    </row>
    <row r="333" spans="1:13" ht="13.5">
      <c r="A333" s="108" t="s">
        <v>455</v>
      </c>
      <c r="B333" s="113" t="s">
        <v>1274</v>
      </c>
      <c r="C333" s="113" t="s">
        <v>437</v>
      </c>
      <c r="D333" s="108" t="s">
        <v>1073</v>
      </c>
      <c r="F333" s="107" t="str">
        <f t="shared" si="35"/>
        <v>K39</v>
      </c>
      <c r="G333" s="107" t="str">
        <f t="shared" si="33"/>
        <v>木村容子</v>
      </c>
      <c r="H333" s="111" t="s">
        <v>1074</v>
      </c>
      <c r="I333" s="242" t="s">
        <v>1641</v>
      </c>
      <c r="J333" s="118">
        <v>1967</v>
      </c>
      <c r="K333" s="118">
        <f t="shared" si="34"/>
        <v>49</v>
      </c>
      <c r="L333" s="109" t="str">
        <f t="shared" si="36"/>
        <v>OK</v>
      </c>
      <c r="M333" s="107" t="s">
        <v>156</v>
      </c>
    </row>
    <row r="334" spans="1:13" ht="13.5">
      <c r="A334" s="108" t="s">
        <v>456</v>
      </c>
      <c r="B334" s="113" t="s">
        <v>1248</v>
      </c>
      <c r="C334" s="113" t="s">
        <v>1249</v>
      </c>
      <c r="D334" s="108" t="s">
        <v>1073</v>
      </c>
      <c r="F334" s="107" t="str">
        <f t="shared" si="35"/>
        <v>K40</v>
      </c>
      <c r="G334" s="107" t="str">
        <f t="shared" si="33"/>
        <v>田中有紀</v>
      </c>
      <c r="H334" s="111" t="s">
        <v>1074</v>
      </c>
      <c r="I334" s="242" t="s">
        <v>803</v>
      </c>
      <c r="J334" s="118">
        <v>1968</v>
      </c>
      <c r="K334" s="118">
        <f t="shared" si="34"/>
        <v>48</v>
      </c>
      <c r="L334" s="109" t="str">
        <f t="shared" si="36"/>
        <v>OK</v>
      </c>
      <c r="M334" s="107" t="s">
        <v>457</v>
      </c>
    </row>
    <row r="335" spans="1:13" ht="13.5">
      <c r="A335" s="108" t="s">
        <v>458</v>
      </c>
      <c r="B335" s="113" t="s">
        <v>438</v>
      </c>
      <c r="C335" s="113" t="s">
        <v>439</v>
      </c>
      <c r="D335" s="108" t="s">
        <v>1073</v>
      </c>
      <c r="F335" s="107" t="str">
        <f t="shared" si="35"/>
        <v>K41</v>
      </c>
      <c r="G335" s="107" t="str">
        <f t="shared" si="33"/>
        <v>出縄久子</v>
      </c>
      <c r="H335" s="111" t="s">
        <v>1074</v>
      </c>
      <c r="I335" s="242" t="s">
        <v>1641</v>
      </c>
      <c r="J335" s="118">
        <v>1966</v>
      </c>
      <c r="K335" s="118">
        <f t="shared" si="34"/>
        <v>50</v>
      </c>
      <c r="L335" s="109" t="str">
        <f t="shared" si="36"/>
        <v>OK</v>
      </c>
      <c r="M335" s="107" t="s">
        <v>802</v>
      </c>
    </row>
    <row r="336" spans="1:13" ht="13.5">
      <c r="A336" s="108" t="s">
        <v>440</v>
      </c>
      <c r="B336" s="107" t="s">
        <v>441</v>
      </c>
      <c r="C336" s="107" t="s">
        <v>442</v>
      </c>
      <c r="D336" s="108" t="s">
        <v>1073</v>
      </c>
      <c r="F336" s="107" t="str">
        <f t="shared" si="35"/>
        <v>K42</v>
      </c>
      <c r="G336" s="107" t="str">
        <f t="shared" si="33"/>
        <v>稲岡和紀</v>
      </c>
      <c r="H336" s="111" t="s">
        <v>1074</v>
      </c>
      <c r="I336" s="111" t="s">
        <v>1252</v>
      </c>
      <c r="J336" s="118">
        <v>1978</v>
      </c>
      <c r="K336" s="118">
        <f t="shared" si="34"/>
        <v>38</v>
      </c>
      <c r="L336" s="109" t="str">
        <f t="shared" si="36"/>
        <v>OK</v>
      </c>
      <c r="M336" s="113" t="s">
        <v>1350</v>
      </c>
    </row>
    <row r="337" spans="1:13" ht="13.5">
      <c r="A337" s="108" t="s">
        <v>163</v>
      </c>
      <c r="B337" s="107" t="s">
        <v>1326</v>
      </c>
      <c r="C337" s="107" t="s">
        <v>164</v>
      </c>
      <c r="D337" s="108" t="s">
        <v>1073</v>
      </c>
      <c r="F337" s="107" t="str">
        <f t="shared" si="35"/>
        <v>K43</v>
      </c>
      <c r="G337" s="107" t="str">
        <f t="shared" si="33"/>
        <v>石田恵二</v>
      </c>
      <c r="H337" s="111" t="s">
        <v>1074</v>
      </c>
      <c r="I337" s="111" t="s">
        <v>1252</v>
      </c>
      <c r="J337" s="118">
        <v>1974</v>
      </c>
      <c r="K337" s="118">
        <f t="shared" si="34"/>
        <v>42</v>
      </c>
      <c r="L337" s="109" t="str">
        <f t="shared" si="36"/>
        <v>OK</v>
      </c>
      <c r="M337" s="113" t="s">
        <v>1350</v>
      </c>
    </row>
    <row r="338" spans="1:13" ht="13.5">
      <c r="A338" s="108" t="s">
        <v>165</v>
      </c>
      <c r="B338" s="107" t="s">
        <v>166</v>
      </c>
      <c r="C338" s="107" t="s">
        <v>167</v>
      </c>
      <c r="D338" s="108" t="s">
        <v>1073</v>
      </c>
      <c r="F338" s="107" t="str">
        <f t="shared" si="35"/>
        <v>K44</v>
      </c>
      <c r="G338" s="107" t="str">
        <f t="shared" si="33"/>
        <v>富永　晶</v>
      </c>
      <c r="H338" s="111" t="s">
        <v>1074</v>
      </c>
      <c r="I338" s="111" t="s">
        <v>23</v>
      </c>
      <c r="J338" s="118">
        <v>1993</v>
      </c>
      <c r="K338" s="118">
        <f t="shared" si="34"/>
        <v>23</v>
      </c>
      <c r="L338" s="109" t="str">
        <f t="shared" si="36"/>
        <v>OK</v>
      </c>
      <c r="M338" s="107" t="s">
        <v>162</v>
      </c>
    </row>
    <row r="339" spans="1:13" ht="13.5">
      <c r="A339" s="108" t="s">
        <v>168</v>
      </c>
      <c r="B339" s="107" t="s">
        <v>1528</v>
      </c>
      <c r="C339" s="107" t="s">
        <v>1529</v>
      </c>
      <c r="D339" s="108" t="s">
        <v>1073</v>
      </c>
      <c r="F339" s="107" t="str">
        <f t="shared" si="35"/>
        <v>K45</v>
      </c>
      <c r="G339" s="107" t="str">
        <f t="shared" si="33"/>
        <v>吉野淳也</v>
      </c>
      <c r="H339" s="111" t="s">
        <v>1074</v>
      </c>
      <c r="I339" s="111" t="s">
        <v>23</v>
      </c>
      <c r="J339" s="118">
        <v>1990</v>
      </c>
      <c r="K339" s="118">
        <f t="shared" si="34"/>
        <v>26</v>
      </c>
      <c r="L339" s="109" t="str">
        <f t="shared" si="36"/>
        <v>OK</v>
      </c>
      <c r="M339" s="107" t="s">
        <v>828</v>
      </c>
    </row>
    <row r="340" spans="1:13" ht="13.5">
      <c r="A340" s="108" t="s">
        <v>169</v>
      </c>
      <c r="B340" s="107" t="s">
        <v>170</v>
      </c>
      <c r="C340" s="107" t="s">
        <v>171</v>
      </c>
      <c r="D340" s="108" t="s">
        <v>1073</v>
      </c>
      <c r="F340" s="107" t="str">
        <f t="shared" si="35"/>
        <v>K46</v>
      </c>
      <c r="G340" s="107" t="str">
        <f t="shared" si="33"/>
        <v>岩渕光紀</v>
      </c>
      <c r="H340" s="111" t="s">
        <v>1074</v>
      </c>
      <c r="I340" s="111" t="s">
        <v>1252</v>
      </c>
      <c r="J340" s="118">
        <v>1991</v>
      </c>
      <c r="K340" s="118">
        <f t="shared" si="34"/>
        <v>25</v>
      </c>
      <c r="L340" s="109" t="str">
        <f t="shared" si="36"/>
        <v>OK</v>
      </c>
      <c r="M340" s="269" t="s">
        <v>823</v>
      </c>
    </row>
    <row r="341" spans="1:13" ht="13.5">
      <c r="A341" s="108" t="s">
        <v>172</v>
      </c>
      <c r="B341" s="113" t="s">
        <v>1505</v>
      </c>
      <c r="C341" s="113" t="s">
        <v>173</v>
      </c>
      <c r="D341" s="108" t="s">
        <v>1073</v>
      </c>
      <c r="F341" s="107" t="str">
        <f t="shared" si="35"/>
        <v>K47</v>
      </c>
      <c r="G341" s="107" t="str">
        <f t="shared" si="33"/>
        <v>津田悠花</v>
      </c>
      <c r="H341" s="111" t="s">
        <v>1074</v>
      </c>
      <c r="I341" s="242" t="s">
        <v>1329</v>
      </c>
      <c r="J341" s="118">
        <v>1994</v>
      </c>
      <c r="K341" s="118">
        <f t="shared" si="34"/>
        <v>22</v>
      </c>
      <c r="L341" s="109" t="str">
        <f t="shared" si="36"/>
        <v>OK</v>
      </c>
      <c r="M341" s="107" t="s">
        <v>828</v>
      </c>
    </row>
    <row r="342" spans="1:13" ht="13.5">
      <c r="A342" s="108" t="s">
        <v>174</v>
      </c>
      <c r="B342" s="113" t="s">
        <v>175</v>
      </c>
      <c r="C342" s="113" t="s">
        <v>176</v>
      </c>
      <c r="D342" s="108" t="s">
        <v>1073</v>
      </c>
      <c r="F342" s="107" t="str">
        <f t="shared" si="35"/>
        <v>K48</v>
      </c>
      <c r="G342" s="107" t="str">
        <f t="shared" si="33"/>
        <v>稲継馨</v>
      </c>
      <c r="H342" s="111" t="s">
        <v>1074</v>
      </c>
      <c r="I342" s="242" t="s">
        <v>1641</v>
      </c>
      <c r="J342" s="118">
        <v>1991</v>
      </c>
      <c r="K342" s="118">
        <f t="shared" si="34"/>
        <v>25</v>
      </c>
      <c r="L342" s="109" t="str">
        <f t="shared" si="36"/>
        <v>OK</v>
      </c>
      <c r="M342" s="107" t="s">
        <v>156</v>
      </c>
    </row>
    <row r="343" spans="1:13" ht="13.5">
      <c r="A343" s="108" t="s">
        <v>177</v>
      </c>
      <c r="B343" s="107" t="s">
        <v>178</v>
      </c>
      <c r="C343" s="107" t="s">
        <v>179</v>
      </c>
      <c r="D343" s="108" t="s">
        <v>1073</v>
      </c>
      <c r="F343" s="107" t="str">
        <f t="shared" si="35"/>
        <v>K49</v>
      </c>
      <c r="G343" s="107" t="str">
        <f t="shared" si="33"/>
        <v>梅津圭</v>
      </c>
      <c r="H343" s="111" t="s">
        <v>1074</v>
      </c>
      <c r="I343" s="111" t="s">
        <v>1649</v>
      </c>
      <c r="J343" s="118">
        <v>1992</v>
      </c>
      <c r="K343" s="118">
        <f t="shared" si="34"/>
        <v>24</v>
      </c>
      <c r="L343" s="109" t="str">
        <f t="shared" si="36"/>
        <v>OK</v>
      </c>
      <c r="M343" s="107" t="s">
        <v>180</v>
      </c>
    </row>
    <row r="344" spans="1:13" ht="13.5">
      <c r="A344" s="108" t="s">
        <v>181</v>
      </c>
      <c r="B344" s="107" t="s">
        <v>182</v>
      </c>
      <c r="C344" s="107" t="s">
        <v>183</v>
      </c>
      <c r="D344" s="108" t="s">
        <v>1073</v>
      </c>
      <c r="F344" s="107" t="str">
        <f t="shared" si="35"/>
        <v>K50</v>
      </c>
      <c r="G344" s="107" t="str">
        <f t="shared" si="33"/>
        <v>中西泰輝</v>
      </c>
      <c r="H344" s="111" t="s">
        <v>1074</v>
      </c>
      <c r="I344" s="111" t="s">
        <v>23</v>
      </c>
      <c r="J344" s="118">
        <v>1992</v>
      </c>
      <c r="K344" s="118">
        <f t="shared" si="34"/>
        <v>24</v>
      </c>
      <c r="L344" s="109" t="str">
        <f t="shared" si="36"/>
        <v>OK</v>
      </c>
      <c r="M344" s="107" t="s">
        <v>828</v>
      </c>
    </row>
    <row r="345" spans="6:12" ht="13.5">
      <c r="F345" s="109"/>
      <c r="H345" s="111"/>
      <c r="I345" s="111"/>
      <c r="L345" s="109"/>
    </row>
    <row r="346" spans="2:12" ht="13.5">
      <c r="B346" s="107" t="s">
        <v>184</v>
      </c>
      <c r="F346" s="109"/>
      <c r="H346" s="111"/>
      <c r="I346" s="111"/>
      <c r="L346" s="109"/>
    </row>
    <row r="347" spans="6:12" ht="13.5">
      <c r="F347" s="109"/>
      <c r="H347" s="111"/>
      <c r="I347" s="111"/>
      <c r="L347" s="109"/>
    </row>
    <row r="348" spans="2:13" ht="13.5">
      <c r="B348" s="668" t="s">
        <v>459</v>
      </c>
      <c r="C348" s="668"/>
      <c r="D348" s="668"/>
      <c r="E348" s="210"/>
      <c r="F348" s="210"/>
      <c r="G348" s="210"/>
      <c r="H348" s="210"/>
      <c r="I348" s="210"/>
      <c r="J348" s="210"/>
      <c r="K348" s="210"/>
      <c r="L348" s="109">
        <f>IF(G348="","",IF(COUNTIF($G$24:$G$617,G348)&gt;1,"2重登録","OK"))</f>
      </c>
      <c r="M348" s="210"/>
    </row>
    <row r="349" spans="2:12" s="210" customFormat="1" ht="13.5">
      <c r="B349" s="668"/>
      <c r="C349" s="668"/>
      <c r="D349" s="668"/>
      <c r="L349" s="109">
        <f>IF(G349="","",IF(COUNTIF($G$24:$G$617,G349)&gt;1,"2重登録","OK"))</f>
      </c>
    </row>
    <row r="350" spans="2:13" s="210" customFormat="1" ht="13.5">
      <c r="B350" s="669" t="s">
        <v>1488</v>
      </c>
      <c r="C350" s="669"/>
      <c r="D350" s="107"/>
      <c r="E350" s="107"/>
      <c r="F350" s="109"/>
      <c r="G350" s="107"/>
      <c r="H350" s="111"/>
      <c r="I350" s="111"/>
      <c r="J350" s="118"/>
      <c r="K350" s="118"/>
      <c r="L350" s="109">
        <f>IF(G350="","",IF(COUNTIF($G$24:$G$617,G350)&gt;1,"2重登録","OK"))</f>
      </c>
      <c r="M350" s="107"/>
    </row>
    <row r="351" spans="2:12" ht="13.5">
      <c r="B351" s="669"/>
      <c r="C351" s="669"/>
      <c r="F351" s="109"/>
      <c r="G351" s="107" t="s">
        <v>1537</v>
      </c>
      <c r="H351" s="107" t="s">
        <v>1538</v>
      </c>
      <c r="I351" s="111"/>
      <c r="L351" s="109"/>
    </row>
    <row r="352" spans="2:12" ht="13.5">
      <c r="B352" s="110" t="s">
        <v>185</v>
      </c>
      <c r="D352" s="136" t="s">
        <v>1429</v>
      </c>
      <c r="F352" s="109"/>
      <c r="G352" s="141">
        <f>COUNTIF($M$354:$M$403,"東近江市")</f>
        <v>17</v>
      </c>
      <c r="H352" s="142">
        <f>(G352/RIGHT(A403,2))</f>
        <v>0.34</v>
      </c>
      <c r="I352" s="111"/>
      <c r="L352" s="109"/>
    </row>
    <row r="353" spans="2:12" ht="13.5">
      <c r="B353" s="110" t="s">
        <v>186</v>
      </c>
      <c r="C353" s="110"/>
      <c r="D353" s="142" t="s">
        <v>1430</v>
      </c>
      <c r="F353" s="109" t="str">
        <f>A354</f>
        <v>M01</v>
      </c>
      <c r="G353" s="107" t="str">
        <f>B353&amp;C353</f>
        <v>村田八日市ＴＣ</v>
      </c>
      <c r="I353" s="111"/>
      <c r="K353" s="119"/>
      <c r="L353" s="109"/>
    </row>
    <row r="354" spans="1:13" s="123" customFormat="1" ht="13.5">
      <c r="A354" s="198" t="s">
        <v>187</v>
      </c>
      <c r="B354" s="199" t="s">
        <v>1127</v>
      </c>
      <c r="C354" s="199" t="s">
        <v>1128</v>
      </c>
      <c r="D354" s="110" t="s">
        <v>188</v>
      </c>
      <c r="E354" s="144"/>
      <c r="F354" s="198" t="s">
        <v>187</v>
      </c>
      <c r="G354" s="107" t="str">
        <f>B354&amp;C354</f>
        <v>安久智之</v>
      </c>
      <c r="H354" s="110" t="s">
        <v>189</v>
      </c>
      <c r="I354" s="144" t="s">
        <v>1351</v>
      </c>
      <c r="J354" s="200">
        <v>1982</v>
      </c>
      <c r="K354" s="119">
        <f>IF(J354="","",(2016-J354))</f>
        <v>34</v>
      </c>
      <c r="L354" s="109" t="str">
        <f aca="true" t="shared" si="37" ref="L354:L383">IF(G354="","",IF(COUNTIF($G$24:$G$708,G354)&gt;1,"2重登録","OK"))</f>
        <v>OK</v>
      </c>
      <c r="M354" s="201" t="s">
        <v>1354</v>
      </c>
    </row>
    <row r="355" spans="1:13" s="123" customFormat="1" ht="13.5">
      <c r="A355" s="198" t="s">
        <v>792</v>
      </c>
      <c r="B355" s="199" t="s">
        <v>793</v>
      </c>
      <c r="C355" s="199" t="s">
        <v>794</v>
      </c>
      <c r="D355" s="110" t="s">
        <v>188</v>
      </c>
      <c r="E355" s="144"/>
      <c r="F355" s="198" t="s">
        <v>792</v>
      </c>
      <c r="G355" s="107" t="str">
        <f aca="true" t="shared" si="38" ref="G355:G403">B355&amp;C355</f>
        <v>稲泉　聡</v>
      </c>
      <c r="H355" s="110" t="s">
        <v>189</v>
      </c>
      <c r="I355" s="144" t="s">
        <v>1351</v>
      </c>
      <c r="J355" s="200">
        <v>1967</v>
      </c>
      <c r="K355" s="119">
        <f aca="true" t="shared" si="39" ref="K355:K403">IF(J355="","",(2016-J355))</f>
        <v>49</v>
      </c>
      <c r="L355" s="109" t="str">
        <f t="shared" si="37"/>
        <v>OK</v>
      </c>
      <c r="M355" s="200" t="s">
        <v>795</v>
      </c>
    </row>
    <row r="356" spans="1:13" s="123" customFormat="1" ht="13.5">
      <c r="A356" s="198" t="s">
        <v>460</v>
      </c>
      <c r="B356" s="199" t="s">
        <v>1129</v>
      </c>
      <c r="C356" s="199" t="s">
        <v>1130</v>
      </c>
      <c r="D356" s="110" t="s">
        <v>190</v>
      </c>
      <c r="E356" s="144"/>
      <c r="F356" s="198" t="s">
        <v>460</v>
      </c>
      <c r="G356" s="107" t="str">
        <f t="shared" si="38"/>
        <v>岡川謙二</v>
      </c>
      <c r="H356" s="110" t="s">
        <v>191</v>
      </c>
      <c r="I356" s="144" t="s">
        <v>26</v>
      </c>
      <c r="J356" s="200">
        <v>1967</v>
      </c>
      <c r="K356" s="119">
        <f t="shared" si="39"/>
        <v>49</v>
      </c>
      <c r="L356" s="109" t="str">
        <f t="shared" si="37"/>
        <v>OK</v>
      </c>
      <c r="M356" s="200" t="s">
        <v>795</v>
      </c>
    </row>
    <row r="357" spans="1:13" s="123" customFormat="1" ht="13.5">
      <c r="A357" s="198" t="s">
        <v>461</v>
      </c>
      <c r="B357" s="199" t="s">
        <v>956</v>
      </c>
      <c r="C357" s="199" t="s">
        <v>1138</v>
      </c>
      <c r="D357" s="110" t="s">
        <v>190</v>
      </c>
      <c r="E357" s="144"/>
      <c r="F357" s="198" t="s">
        <v>461</v>
      </c>
      <c r="G357" s="107" t="str">
        <f t="shared" si="38"/>
        <v>児玉雅弘</v>
      </c>
      <c r="H357" s="110" t="s">
        <v>191</v>
      </c>
      <c r="I357" s="144" t="s">
        <v>26</v>
      </c>
      <c r="J357" s="200">
        <v>1965</v>
      </c>
      <c r="K357" s="119">
        <f t="shared" si="39"/>
        <v>51</v>
      </c>
      <c r="L357" s="109" t="str">
        <f t="shared" si="37"/>
        <v>OK</v>
      </c>
      <c r="M357" s="200" t="s">
        <v>796</v>
      </c>
    </row>
    <row r="358" spans="1:13" s="123" customFormat="1" ht="13.5">
      <c r="A358" s="198" t="s">
        <v>1131</v>
      </c>
      <c r="B358" s="202" t="s">
        <v>648</v>
      </c>
      <c r="C358" s="202" t="s">
        <v>649</v>
      </c>
      <c r="D358" s="110" t="s">
        <v>192</v>
      </c>
      <c r="E358" s="223"/>
      <c r="F358" s="212" t="s">
        <v>1131</v>
      </c>
      <c r="G358" s="220" t="str">
        <f t="shared" si="38"/>
        <v>名田育子</v>
      </c>
      <c r="H358" s="110" t="s">
        <v>193</v>
      </c>
      <c r="I358" s="270" t="s">
        <v>803</v>
      </c>
      <c r="J358" s="224">
        <v>1953</v>
      </c>
      <c r="K358" s="119">
        <f t="shared" si="39"/>
        <v>63</v>
      </c>
      <c r="L358" s="225" t="str">
        <f t="shared" si="37"/>
        <v>OK</v>
      </c>
      <c r="M358" s="201" t="s">
        <v>1354</v>
      </c>
    </row>
    <row r="359" spans="1:13" s="123" customFormat="1" ht="13.5">
      <c r="A359" s="198" t="s">
        <v>1132</v>
      </c>
      <c r="B359" s="199" t="s">
        <v>462</v>
      </c>
      <c r="C359" s="199" t="s">
        <v>463</v>
      </c>
      <c r="D359" s="110" t="s">
        <v>194</v>
      </c>
      <c r="E359" s="144"/>
      <c r="F359" s="198" t="s">
        <v>1132</v>
      </c>
      <c r="G359" s="107" t="str">
        <f t="shared" si="38"/>
        <v>徳永 剛</v>
      </c>
      <c r="H359" s="110" t="s">
        <v>195</v>
      </c>
      <c r="I359" s="144" t="s">
        <v>23</v>
      </c>
      <c r="J359" s="200">
        <v>1966</v>
      </c>
      <c r="K359" s="119">
        <f t="shared" si="39"/>
        <v>50</v>
      </c>
      <c r="L359" s="109" t="str">
        <f t="shared" si="37"/>
        <v>OK</v>
      </c>
      <c r="M359" s="212" t="s">
        <v>1353</v>
      </c>
    </row>
    <row r="360" spans="1:13" s="123" customFormat="1" ht="13.5">
      <c r="A360" s="198" t="s">
        <v>1134</v>
      </c>
      <c r="B360" s="199" t="s">
        <v>1142</v>
      </c>
      <c r="C360" s="199" t="s">
        <v>1143</v>
      </c>
      <c r="D360" s="110" t="s">
        <v>196</v>
      </c>
      <c r="E360" s="144"/>
      <c r="F360" s="198" t="s">
        <v>1134</v>
      </c>
      <c r="G360" s="107" t="str">
        <f t="shared" si="38"/>
        <v>杉山邦夫</v>
      </c>
      <c r="H360" s="110" t="s">
        <v>197</v>
      </c>
      <c r="I360" s="144" t="s">
        <v>1421</v>
      </c>
      <c r="J360" s="200">
        <v>1950</v>
      </c>
      <c r="K360" s="119">
        <f t="shared" si="39"/>
        <v>66</v>
      </c>
      <c r="L360" s="109" t="str">
        <f t="shared" si="37"/>
        <v>OK</v>
      </c>
      <c r="M360" s="200" t="s">
        <v>797</v>
      </c>
    </row>
    <row r="361" spans="1:13" s="123" customFormat="1" ht="13.5">
      <c r="A361" s="198" t="s">
        <v>1135</v>
      </c>
      <c r="B361" s="199" t="s">
        <v>1145</v>
      </c>
      <c r="C361" s="199" t="s">
        <v>1146</v>
      </c>
      <c r="D361" s="110" t="s">
        <v>196</v>
      </c>
      <c r="E361" s="144"/>
      <c r="F361" s="198" t="s">
        <v>1135</v>
      </c>
      <c r="G361" s="107" t="str">
        <f t="shared" si="38"/>
        <v>杉本龍平</v>
      </c>
      <c r="H361" s="110" t="s">
        <v>198</v>
      </c>
      <c r="I361" s="144" t="s">
        <v>821</v>
      </c>
      <c r="J361" s="200">
        <v>1976</v>
      </c>
      <c r="K361" s="119">
        <f t="shared" si="39"/>
        <v>40</v>
      </c>
      <c r="L361" s="109" t="str">
        <f t="shared" si="37"/>
        <v>OK</v>
      </c>
      <c r="M361" s="200" t="s">
        <v>827</v>
      </c>
    </row>
    <row r="362" spans="1:13" s="123" customFormat="1" ht="13.5">
      <c r="A362" s="198" t="s">
        <v>1136</v>
      </c>
      <c r="B362" s="199" t="s">
        <v>1148</v>
      </c>
      <c r="C362" s="199" t="s">
        <v>1149</v>
      </c>
      <c r="D362" s="110" t="s">
        <v>199</v>
      </c>
      <c r="E362" s="144"/>
      <c r="F362" s="198" t="s">
        <v>1136</v>
      </c>
      <c r="G362" s="107" t="str">
        <f t="shared" si="38"/>
        <v>西内友也</v>
      </c>
      <c r="H362" s="110" t="s">
        <v>198</v>
      </c>
      <c r="I362" s="144" t="s">
        <v>821</v>
      </c>
      <c r="J362" s="200">
        <v>1981</v>
      </c>
      <c r="K362" s="119">
        <f t="shared" si="39"/>
        <v>35</v>
      </c>
      <c r="L362" s="109" t="str">
        <f t="shared" si="37"/>
        <v>OK</v>
      </c>
      <c r="M362" s="200" t="s">
        <v>824</v>
      </c>
    </row>
    <row r="363" spans="1:13" s="123" customFormat="1" ht="13.5">
      <c r="A363" s="198" t="s">
        <v>1137</v>
      </c>
      <c r="B363" s="199" t="s">
        <v>1071</v>
      </c>
      <c r="C363" s="199" t="s">
        <v>1152</v>
      </c>
      <c r="D363" s="110" t="s">
        <v>200</v>
      </c>
      <c r="E363" s="144"/>
      <c r="F363" s="198" t="s">
        <v>1137</v>
      </c>
      <c r="G363" s="107" t="str">
        <f t="shared" si="38"/>
        <v>川上英二</v>
      </c>
      <c r="H363" s="110" t="s">
        <v>198</v>
      </c>
      <c r="I363" s="144" t="s">
        <v>821</v>
      </c>
      <c r="J363" s="200">
        <v>1963</v>
      </c>
      <c r="K363" s="119">
        <f t="shared" si="39"/>
        <v>53</v>
      </c>
      <c r="L363" s="109" t="str">
        <f t="shared" si="37"/>
        <v>OK</v>
      </c>
      <c r="M363" s="201" t="s">
        <v>1354</v>
      </c>
    </row>
    <row r="364" spans="1:13" s="123" customFormat="1" ht="13.5">
      <c r="A364" s="198" t="s">
        <v>1139</v>
      </c>
      <c r="B364" s="199" t="s">
        <v>1154</v>
      </c>
      <c r="C364" s="199" t="s">
        <v>1155</v>
      </c>
      <c r="D364" s="110" t="s">
        <v>188</v>
      </c>
      <c r="E364" s="144"/>
      <c r="F364" s="198" t="s">
        <v>1139</v>
      </c>
      <c r="G364" s="107" t="str">
        <f t="shared" si="38"/>
        <v>泉谷純也</v>
      </c>
      <c r="H364" s="110" t="s">
        <v>189</v>
      </c>
      <c r="I364" s="144" t="s">
        <v>1351</v>
      </c>
      <c r="J364" s="200">
        <v>1982</v>
      </c>
      <c r="K364" s="119">
        <f t="shared" si="39"/>
        <v>34</v>
      </c>
      <c r="L364" s="109" t="str">
        <f t="shared" si="37"/>
        <v>OK</v>
      </c>
      <c r="M364" s="201" t="s">
        <v>1354</v>
      </c>
    </row>
    <row r="365" spans="1:13" s="123" customFormat="1" ht="13.5">
      <c r="A365" s="198" t="s">
        <v>1140</v>
      </c>
      <c r="B365" s="199" t="s">
        <v>1114</v>
      </c>
      <c r="C365" s="199" t="s">
        <v>1157</v>
      </c>
      <c r="D365" s="110" t="s">
        <v>188</v>
      </c>
      <c r="E365" s="144"/>
      <c r="F365" s="198" t="s">
        <v>1140</v>
      </c>
      <c r="G365" s="107" t="str">
        <f t="shared" si="38"/>
        <v>浅田隆昭</v>
      </c>
      <c r="H365" s="110" t="s">
        <v>189</v>
      </c>
      <c r="I365" s="144" t="s">
        <v>1351</v>
      </c>
      <c r="J365" s="200">
        <v>1964</v>
      </c>
      <c r="K365" s="119">
        <f t="shared" si="39"/>
        <v>52</v>
      </c>
      <c r="L365" s="109" t="str">
        <f t="shared" si="37"/>
        <v>OK</v>
      </c>
      <c r="M365" s="200" t="s">
        <v>828</v>
      </c>
    </row>
    <row r="366" spans="1:13" s="123" customFormat="1" ht="13.5">
      <c r="A366" s="198" t="s">
        <v>1141</v>
      </c>
      <c r="B366" s="199" t="s">
        <v>1159</v>
      </c>
      <c r="C366" s="199" t="s">
        <v>1160</v>
      </c>
      <c r="D366" s="110" t="s">
        <v>201</v>
      </c>
      <c r="E366" s="144"/>
      <c r="F366" s="198" t="s">
        <v>1141</v>
      </c>
      <c r="G366" s="107" t="str">
        <f t="shared" si="38"/>
        <v>前田雅人</v>
      </c>
      <c r="H366" s="110" t="s">
        <v>198</v>
      </c>
      <c r="I366" s="144" t="s">
        <v>821</v>
      </c>
      <c r="J366" s="200">
        <v>1959</v>
      </c>
      <c r="K366" s="119">
        <f t="shared" si="39"/>
        <v>57</v>
      </c>
      <c r="L366" s="109" t="str">
        <f t="shared" si="37"/>
        <v>OK</v>
      </c>
      <c r="M366" s="200" t="s">
        <v>829</v>
      </c>
    </row>
    <row r="367" spans="1:13" s="123" customFormat="1" ht="13.5">
      <c r="A367" s="198" t="s">
        <v>1144</v>
      </c>
      <c r="B367" s="203" t="s">
        <v>798</v>
      </c>
      <c r="C367" s="204" t="s">
        <v>799</v>
      </c>
      <c r="D367" s="110" t="s">
        <v>202</v>
      </c>
      <c r="E367" s="144"/>
      <c r="F367" s="198" t="s">
        <v>1144</v>
      </c>
      <c r="G367" s="107" t="str">
        <f t="shared" si="38"/>
        <v>土田典人</v>
      </c>
      <c r="H367" s="110" t="s">
        <v>203</v>
      </c>
      <c r="I367" s="144" t="s">
        <v>204</v>
      </c>
      <c r="J367" s="200">
        <v>1964</v>
      </c>
      <c r="K367" s="119">
        <f t="shared" si="39"/>
        <v>52</v>
      </c>
      <c r="L367" s="109" t="str">
        <f t="shared" si="37"/>
        <v>OK</v>
      </c>
      <c r="M367" s="200" t="s">
        <v>827</v>
      </c>
    </row>
    <row r="368" spans="1:13" s="123" customFormat="1" ht="13.5">
      <c r="A368" s="198" t="s">
        <v>1147</v>
      </c>
      <c r="B368" s="199" t="s">
        <v>723</v>
      </c>
      <c r="C368" s="199" t="s">
        <v>724</v>
      </c>
      <c r="D368" s="110" t="s">
        <v>202</v>
      </c>
      <c r="E368" s="144"/>
      <c r="F368" s="198" t="s">
        <v>1147</v>
      </c>
      <c r="G368" s="107" t="str">
        <f t="shared" si="38"/>
        <v>二ツ井裕也</v>
      </c>
      <c r="H368" s="110" t="s">
        <v>205</v>
      </c>
      <c r="I368" s="144" t="s">
        <v>206</v>
      </c>
      <c r="J368" s="200">
        <v>1990</v>
      </c>
      <c r="K368" s="119">
        <f t="shared" si="39"/>
        <v>26</v>
      </c>
      <c r="L368" s="109" t="str">
        <f t="shared" si="37"/>
        <v>OK</v>
      </c>
      <c r="M368" s="201" t="s">
        <v>1354</v>
      </c>
    </row>
    <row r="369" spans="1:13" s="123" customFormat="1" ht="13.5">
      <c r="A369" s="198" t="s">
        <v>1150</v>
      </c>
      <c r="B369" s="199" t="s">
        <v>725</v>
      </c>
      <c r="C369" s="199" t="s">
        <v>726</v>
      </c>
      <c r="D369" s="110" t="s">
        <v>207</v>
      </c>
      <c r="E369" s="144"/>
      <c r="F369" s="198" t="s">
        <v>1150</v>
      </c>
      <c r="G369" s="107" t="str">
        <f t="shared" si="38"/>
        <v>森永洋介</v>
      </c>
      <c r="H369" s="110" t="s">
        <v>189</v>
      </c>
      <c r="I369" s="144" t="s">
        <v>1351</v>
      </c>
      <c r="J369" s="200">
        <v>1989</v>
      </c>
      <c r="K369" s="119">
        <f t="shared" si="39"/>
        <v>27</v>
      </c>
      <c r="L369" s="109" t="str">
        <f t="shared" si="37"/>
        <v>OK</v>
      </c>
      <c r="M369" s="198" t="s">
        <v>826</v>
      </c>
    </row>
    <row r="370" spans="1:13" s="123" customFormat="1" ht="13.5">
      <c r="A370" s="198" t="s">
        <v>1151</v>
      </c>
      <c r="B370" s="199" t="s">
        <v>1167</v>
      </c>
      <c r="C370" s="199" t="s">
        <v>1168</v>
      </c>
      <c r="D370" s="110" t="s">
        <v>208</v>
      </c>
      <c r="E370" s="144"/>
      <c r="F370" s="198" t="s">
        <v>1151</v>
      </c>
      <c r="G370" s="107" t="str">
        <f t="shared" si="38"/>
        <v>冨田哲弥</v>
      </c>
      <c r="H370" s="110" t="s">
        <v>198</v>
      </c>
      <c r="I370" s="144" t="s">
        <v>821</v>
      </c>
      <c r="J370" s="200">
        <v>1966</v>
      </c>
      <c r="K370" s="119">
        <f t="shared" si="39"/>
        <v>50</v>
      </c>
      <c r="L370" s="109" t="str">
        <f t="shared" si="37"/>
        <v>OK</v>
      </c>
      <c r="M370" s="200" t="s">
        <v>1353</v>
      </c>
    </row>
    <row r="371" spans="1:13" s="123" customFormat="1" ht="13.5">
      <c r="A371" s="198" t="s">
        <v>1153</v>
      </c>
      <c r="B371" s="199" t="s">
        <v>1026</v>
      </c>
      <c r="C371" s="199" t="s">
        <v>1170</v>
      </c>
      <c r="D371" s="110" t="s">
        <v>196</v>
      </c>
      <c r="E371" s="144"/>
      <c r="F371" s="198" t="s">
        <v>1153</v>
      </c>
      <c r="G371" s="107" t="str">
        <f t="shared" si="38"/>
        <v>並河康訓</v>
      </c>
      <c r="H371" s="110" t="s">
        <v>197</v>
      </c>
      <c r="I371" s="144" t="s">
        <v>1421</v>
      </c>
      <c r="J371" s="200">
        <v>1959</v>
      </c>
      <c r="K371" s="119">
        <f t="shared" si="39"/>
        <v>57</v>
      </c>
      <c r="L371" s="109" t="str">
        <f t="shared" si="37"/>
        <v>OK</v>
      </c>
      <c r="M371" s="200" t="s">
        <v>795</v>
      </c>
    </row>
    <row r="372" spans="1:13" s="123" customFormat="1" ht="13.5">
      <c r="A372" s="198" t="s">
        <v>1156</v>
      </c>
      <c r="B372" s="199" t="s">
        <v>1172</v>
      </c>
      <c r="C372" s="199" t="s">
        <v>1173</v>
      </c>
      <c r="D372" s="110" t="s">
        <v>190</v>
      </c>
      <c r="E372" s="144"/>
      <c r="F372" s="198" t="s">
        <v>1156</v>
      </c>
      <c r="G372" s="107" t="str">
        <f t="shared" si="38"/>
        <v>名田一茂</v>
      </c>
      <c r="H372" s="110" t="s">
        <v>209</v>
      </c>
      <c r="I372" s="144" t="s">
        <v>1420</v>
      </c>
      <c r="J372" s="200">
        <v>1953</v>
      </c>
      <c r="K372" s="119">
        <f t="shared" si="39"/>
        <v>63</v>
      </c>
      <c r="L372" s="109" t="str">
        <f t="shared" si="37"/>
        <v>OK</v>
      </c>
      <c r="M372" s="207" t="s">
        <v>1354</v>
      </c>
    </row>
    <row r="373" spans="1:13" s="123" customFormat="1" ht="13.5">
      <c r="A373" s="198" t="s">
        <v>1158</v>
      </c>
      <c r="B373" s="199" t="s">
        <v>800</v>
      </c>
      <c r="C373" s="199" t="s">
        <v>464</v>
      </c>
      <c r="D373" s="110" t="s">
        <v>202</v>
      </c>
      <c r="E373" s="144"/>
      <c r="F373" s="198" t="s">
        <v>1158</v>
      </c>
      <c r="G373" s="107" t="str">
        <f t="shared" si="38"/>
        <v>辰巳悟朗</v>
      </c>
      <c r="H373" s="110" t="s">
        <v>189</v>
      </c>
      <c r="I373" s="144" t="s">
        <v>1351</v>
      </c>
      <c r="J373" s="200">
        <v>1974</v>
      </c>
      <c r="K373" s="119">
        <f t="shared" si="39"/>
        <v>42</v>
      </c>
      <c r="L373" s="109" t="str">
        <f t="shared" si="37"/>
        <v>OK</v>
      </c>
      <c r="M373" s="200" t="s">
        <v>795</v>
      </c>
    </row>
    <row r="374" spans="1:13" s="123" customFormat="1" ht="13.5">
      <c r="A374" s="198" t="s">
        <v>1161</v>
      </c>
      <c r="B374" s="206" t="s">
        <v>1133</v>
      </c>
      <c r="C374" s="206" t="s">
        <v>1179</v>
      </c>
      <c r="D374" s="110" t="s">
        <v>190</v>
      </c>
      <c r="E374" s="144"/>
      <c r="F374" s="198" t="s">
        <v>1161</v>
      </c>
      <c r="G374" s="220" t="str">
        <f t="shared" si="38"/>
        <v>河野晶子</v>
      </c>
      <c r="H374" s="110" t="s">
        <v>209</v>
      </c>
      <c r="I374" s="242" t="s">
        <v>1422</v>
      </c>
      <c r="J374" s="200">
        <v>1970</v>
      </c>
      <c r="K374" s="119">
        <f t="shared" si="39"/>
        <v>46</v>
      </c>
      <c r="L374" s="109" t="str">
        <f t="shared" si="37"/>
        <v>OK</v>
      </c>
      <c r="M374" s="200" t="s">
        <v>795</v>
      </c>
    </row>
    <row r="375" spans="1:13" s="123" customFormat="1" ht="13.5">
      <c r="A375" s="198" t="s">
        <v>1164</v>
      </c>
      <c r="B375" s="206" t="s">
        <v>1182</v>
      </c>
      <c r="C375" s="206" t="s">
        <v>1183</v>
      </c>
      <c r="D375" s="110" t="s">
        <v>190</v>
      </c>
      <c r="E375" s="144"/>
      <c r="F375" s="198" t="s">
        <v>1164</v>
      </c>
      <c r="G375" s="220" t="str">
        <f t="shared" si="38"/>
        <v>森田恵美</v>
      </c>
      <c r="H375" s="110" t="s">
        <v>209</v>
      </c>
      <c r="I375" s="242" t="s">
        <v>1422</v>
      </c>
      <c r="J375" s="200">
        <v>1971</v>
      </c>
      <c r="K375" s="119">
        <f t="shared" si="39"/>
        <v>45</v>
      </c>
      <c r="L375" s="109" t="str">
        <f t="shared" si="37"/>
        <v>OK</v>
      </c>
      <c r="M375" s="201" t="s">
        <v>1354</v>
      </c>
    </row>
    <row r="376" spans="1:13" s="123" customFormat="1" ht="13.5">
      <c r="A376" s="198" t="s">
        <v>1165</v>
      </c>
      <c r="B376" s="206" t="s">
        <v>1042</v>
      </c>
      <c r="C376" s="206" t="s">
        <v>1186</v>
      </c>
      <c r="D376" s="110" t="s">
        <v>188</v>
      </c>
      <c r="E376" s="144"/>
      <c r="F376" s="198" t="s">
        <v>1165</v>
      </c>
      <c r="G376" s="220" t="str">
        <f t="shared" si="38"/>
        <v>西澤友紀</v>
      </c>
      <c r="H376" s="110" t="s">
        <v>189</v>
      </c>
      <c r="I376" s="242" t="s">
        <v>801</v>
      </c>
      <c r="J376" s="200">
        <v>1975</v>
      </c>
      <c r="K376" s="119">
        <f t="shared" si="39"/>
        <v>41</v>
      </c>
      <c r="L376" s="109" t="str">
        <f t="shared" si="37"/>
        <v>OK</v>
      </c>
      <c r="M376" s="201" t="s">
        <v>1354</v>
      </c>
    </row>
    <row r="377" spans="1:13" s="123" customFormat="1" ht="13.5">
      <c r="A377" s="198" t="s">
        <v>1166</v>
      </c>
      <c r="B377" s="206" t="s">
        <v>1043</v>
      </c>
      <c r="C377" s="206" t="s">
        <v>913</v>
      </c>
      <c r="D377" s="110" t="s">
        <v>188</v>
      </c>
      <c r="E377" s="144"/>
      <c r="F377" s="198" t="s">
        <v>1166</v>
      </c>
      <c r="G377" s="220" t="str">
        <f t="shared" si="38"/>
        <v>速水直美</v>
      </c>
      <c r="H377" s="110" t="s">
        <v>189</v>
      </c>
      <c r="I377" s="242" t="s">
        <v>801</v>
      </c>
      <c r="J377" s="200">
        <v>1967</v>
      </c>
      <c r="K377" s="119">
        <f t="shared" si="39"/>
        <v>49</v>
      </c>
      <c r="L377" s="109" t="str">
        <f t="shared" si="37"/>
        <v>OK</v>
      </c>
      <c r="M377" s="201" t="s">
        <v>1354</v>
      </c>
    </row>
    <row r="378" spans="1:13" s="123" customFormat="1" ht="13.5">
      <c r="A378" s="198" t="s">
        <v>1169</v>
      </c>
      <c r="B378" s="206" t="s">
        <v>1188</v>
      </c>
      <c r="C378" s="206" t="s">
        <v>1189</v>
      </c>
      <c r="D378" s="110" t="s">
        <v>188</v>
      </c>
      <c r="E378" s="144"/>
      <c r="F378" s="198" t="s">
        <v>1169</v>
      </c>
      <c r="G378" s="220" t="str">
        <f t="shared" si="38"/>
        <v>多田麻実</v>
      </c>
      <c r="H378" s="110" t="s">
        <v>189</v>
      </c>
      <c r="I378" s="242" t="s">
        <v>801</v>
      </c>
      <c r="J378" s="200">
        <v>1980</v>
      </c>
      <c r="K378" s="119">
        <f t="shared" si="39"/>
        <v>36</v>
      </c>
      <c r="L378" s="109" t="str">
        <f t="shared" si="37"/>
        <v>OK</v>
      </c>
      <c r="M378" s="200" t="s">
        <v>802</v>
      </c>
    </row>
    <row r="379" spans="1:13" s="123" customFormat="1" ht="13.5">
      <c r="A379" s="198" t="s">
        <v>1171</v>
      </c>
      <c r="B379" s="206" t="s">
        <v>879</v>
      </c>
      <c r="C379" s="206" t="s">
        <v>1190</v>
      </c>
      <c r="D379" s="110" t="s">
        <v>192</v>
      </c>
      <c r="E379" s="144"/>
      <c r="F379" s="198" t="s">
        <v>1171</v>
      </c>
      <c r="G379" s="220" t="str">
        <f t="shared" si="38"/>
        <v>中村純子</v>
      </c>
      <c r="H379" s="110" t="s">
        <v>193</v>
      </c>
      <c r="I379" s="242" t="s">
        <v>803</v>
      </c>
      <c r="J379" s="200">
        <v>1982</v>
      </c>
      <c r="K379" s="119">
        <f t="shared" si="39"/>
        <v>34</v>
      </c>
      <c r="L379" s="109" t="str">
        <f t="shared" si="37"/>
        <v>OK</v>
      </c>
      <c r="M379" s="200" t="s">
        <v>802</v>
      </c>
    </row>
    <row r="380" spans="1:13" s="123" customFormat="1" ht="13.5">
      <c r="A380" s="198" t="s">
        <v>1174</v>
      </c>
      <c r="B380" s="206" t="s">
        <v>1191</v>
      </c>
      <c r="C380" s="206" t="s">
        <v>1192</v>
      </c>
      <c r="D380" s="110" t="s">
        <v>192</v>
      </c>
      <c r="E380" s="144"/>
      <c r="F380" s="198" t="s">
        <v>1174</v>
      </c>
      <c r="G380" s="220" t="str">
        <f t="shared" si="38"/>
        <v>堀田明子</v>
      </c>
      <c r="H380" s="110" t="s">
        <v>193</v>
      </c>
      <c r="I380" s="242" t="s">
        <v>803</v>
      </c>
      <c r="J380" s="200">
        <v>1970</v>
      </c>
      <c r="K380" s="119">
        <f t="shared" si="39"/>
        <v>46</v>
      </c>
      <c r="L380" s="109" t="str">
        <f t="shared" si="37"/>
        <v>OK</v>
      </c>
      <c r="M380" s="207" t="s">
        <v>1354</v>
      </c>
    </row>
    <row r="381" spans="1:13" s="210" customFormat="1" ht="13.5">
      <c r="A381" s="198" t="s">
        <v>1175</v>
      </c>
      <c r="B381" s="208" t="s">
        <v>804</v>
      </c>
      <c r="C381" s="208" t="s">
        <v>805</v>
      </c>
      <c r="D381" s="110" t="s">
        <v>210</v>
      </c>
      <c r="E381" s="209"/>
      <c r="F381" s="198" t="s">
        <v>1175</v>
      </c>
      <c r="G381" s="220" t="str">
        <f t="shared" si="38"/>
        <v>岡川恭子</v>
      </c>
      <c r="H381" s="110" t="s">
        <v>211</v>
      </c>
      <c r="I381" s="242" t="s">
        <v>1329</v>
      </c>
      <c r="J381" s="200">
        <v>1969</v>
      </c>
      <c r="K381" s="119">
        <f t="shared" si="39"/>
        <v>47</v>
      </c>
      <c r="L381" s="109" t="str">
        <f t="shared" si="37"/>
        <v>OK</v>
      </c>
      <c r="M381" s="200" t="s">
        <v>795</v>
      </c>
    </row>
    <row r="382" spans="1:13" s="123" customFormat="1" ht="13.5">
      <c r="A382" s="198" t="s">
        <v>1176</v>
      </c>
      <c r="B382" s="211" t="s">
        <v>806</v>
      </c>
      <c r="C382" s="211" t="s">
        <v>807</v>
      </c>
      <c r="D382" s="110" t="s">
        <v>202</v>
      </c>
      <c r="E382" s="144"/>
      <c r="F382" s="198" t="s">
        <v>1176</v>
      </c>
      <c r="G382" s="220" t="str">
        <f t="shared" si="38"/>
        <v>富田さおり</v>
      </c>
      <c r="H382" s="110" t="s">
        <v>209</v>
      </c>
      <c r="I382" s="242" t="s">
        <v>1422</v>
      </c>
      <c r="J382" s="200">
        <v>1973</v>
      </c>
      <c r="K382" s="119">
        <f t="shared" si="39"/>
        <v>43</v>
      </c>
      <c r="L382" s="109" t="str">
        <f t="shared" si="37"/>
        <v>OK</v>
      </c>
      <c r="M382" s="200" t="s">
        <v>1353</v>
      </c>
    </row>
    <row r="383" spans="1:13" s="123" customFormat="1" ht="13.5">
      <c r="A383" s="198" t="s">
        <v>1177</v>
      </c>
      <c r="B383" s="206" t="s">
        <v>1162</v>
      </c>
      <c r="C383" s="206" t="s">
        <v>1163</v>
      </c>
      <c r="D383" s="110" t="s">
        <v>196</v>
      </c>
      <c r="E383" s="144"/>
      <c r="F383" s="198" t="s">
        <v>1177</v>
      </c>
      <c r="G383" s="220" t="str">
        <f t="shared" si="38"/>
        <v>大脇和世</v>
      </c>
      <c r="H383" s="110" t="s">
        <v>197</v>
      </c>
      <c r="I383" s="242" t="s">
        <v>1423</v>
      </c>
      <c r="J383" s="200">
        <v>1970</v>
      </c>
      <c r="K383" s="119">
        <f t="shared" si="39"/>
        <v>46</v>
      </c>
      <c r="L383" s="109" t="str">
        <f t="shared" si="37"/>
        <v>OK</v>
      </c>
      <c r="M383" s="200" t="s">
        <v>809</v>
      </c>
    </row>
    <row r="384" spans="1:13" ht="13.5">
      <c r="A384" s="198" t="s">
        <v>1178</v>
      </c>
      <c r="B384" s="213" t="s">
        <v>1374</v>
      </c>
      <c r="C384" s="213" t="s">
        <v>1375</v>
      </c>
      <c r="D384" s="110" t="s">
        <v>212</v>
      </c>
      <c r="F384" s="198" t="s">
        <v>1178</v>
      </c>
      <c r="G384" s="220" t="str">
        <f t="shared" si="38"/>
        <v>後藤圭介</v>
      </c>
      <c r="H384" s="110" t="s">
        <v>198</v>
      </c>
      <c r="I384" s="214" t="s">
        <v>821</v>
      </c>
      <c r="J384" s="212">
        <v>1974</v>
      </c>
      <c r="K384" s="119">
        <f t="shared" si="39"/>
        <v>42</v>
      </c>
      <c r="L384" s="109" t="str">
        <f aca="true" t="shared" si="40" ref="L384:L391">IF(B384="","",IF(COUNTIF($G$24:$G$708,B384)&gt;1,"2重登録","OK"))</f>
        <v>OK</v>
      </c>
      <c r="M384" s="212" t="s">
        <v>828</v>
      </c>
    </row>
    <row r="385" spans="1:13" ht="13.5">
      <c r="A385" s="198" t="s">
        <v>1180</v>
      </c>
      <c r="B385" s="213" t="s">
        <v>811</v>
      </c>
      <c r="C385" s="213" t="s">
        <v>1377</v>
      </c>
      <c r="D385" s="110" t="s">
        <v>213</v>
      </c>
      <c r="F385" s="198" t="s">
        <v>1180</v>
      </c>
      <c r="G385" s="220" t="str">
        <f t="shared" si="38"/>
        <v>長谷川晃平</v>
      </c>
      <c r="H385" s="110" t="s">
        <v>198</v>
      </c>
      <c r="I385" s="214" t="s">
        <v>821</v>
      </c>
      <c r="J385" s="212">
        <v>1968</v>
      </c>
      <c r="K385" s="119">
        <f t="shared" si="39"/>
        <v>48</v>
      </c>
      <c r="L385" s="109" t="str">
        <f t="shared" si="40"/>
        <v>OK</v>
      </c>
      <c r="M385" s="212" t="s">
        <v>829</v>
      </c>
    </row>
    <row r="386" spans="1:13" ht="13.5">
      <c r="A386" s="198" t="s">
        <v>1181</v>
      </c>
      <c r="B386" s="213" t="s">
        <v>1379</v>
      </c>
      <c r="C386" s="213" t="s">
        <v>1380</v>
      </c>
      <c r="D386" s="110" t="s">
        <v>196</v>
      </c>
      <c r="F386" s="198" t="s">
        <v>1181</v>
      </c>
      <c r="G386" s="220" t="str">
        <f t="shared" si="38"/>
        <v>原田真稔</v>
      </c>
      <c r="H386" s="110" t="s">
        <v>193</v>
      </c>
      <c r="I386" s="214" t="s">
        <v>1649</v>
      </c>
      <c r="J386" s="212">
        <v>1974</v>
      </c>
      <c r="K386" s="119">
        <f t="shared" si="39"/>
        <v>42</v>
      </c>
      <c r="L386" s="109" t="str">
        <f t="shared" si="40"/>
        <v>OK</v>
      </c>
      <c r="M386" s="212" t="s">
        <v>1353</v>
      </c>
    </row>
    <row r="387" spans="1:13" ht="13.5">
      <c r="A387" s="198" t="s">
        <v>1184</v>
      </c>
      <c r="B387" s="213" t="s">
        <v>1382</v>
      </c>
      <c r="C387" s="213" t="s">
        <v>1383</v>
      </c>
      <c r="D387" s="110" t="s">
        <v>214</v>
      </c>
      <c r="F387" s="198" t="s">
        <v>1184</v>
      </c>
      <c r="G387" s="220" t="str">
        <f t="shared" si="38"/>
        <v>池内伸介</v>
      </c>
      <c r="H387" s="110" t="s">
        <v>197</v>
      </c>
      <c r="I387" s="214" t="s">
        <v>1421</v>
      </c>
      <c r="J387" s="212">
        <v>1983</v>
      </c>
      <c r="K387" s="119">
        <f t="shared" si="39"/>
        <v>33</v>
      </c>
      <c r="L387" s="109" t="str">
        <f t="shared" si="40"/>
        <v>OK</v>
      </c>
      <c r="M387" s="212" t="s">
        <v>829</v>
      </c>
    </row>
    <row r="388" spans="1:13" ht="13.5">
      <c r="A388" s="198" t="s">
        <v>1185</v>
      </c>
      <c r="B388" s="213" t="s">
        <v>1282</v>
      </c>
      <c r="C388" s="213" t="s">
        <v>1385</v>
      </c>
      <c r="D388" s="110" t="s">
        <v>202</v>
      </c>
      <c r="F388" s="198" t="s">
        <v>1185</v>
      </c>
      <c r="G388" s="220" t="str">
        <f t="shared" si="38"/>
        <v>藤田彰</v>
      </c>
      <c r="H388" s="110" t="s">
        <v>215</v>
      </c>
      <c r="I388" s="214" t="s">
        <v>216</v>
      </c>
      <c r="J388" s="212">
        <v>1981</v>
      </c>
      <c r="K388" s="119">
        <f t="shared" si="39"/>
        <v>35</v>
      </c>
      <c r="L388" s="109" t="str">
        <f t="shared" si="40"/>
        <v>OK</v>
      </c>
      <c r="M388" s="212" t="s">
        <v>829</v>
      </c>
    </row>
    <row r="389" spans="1:13" ht="13.5">
      <c r="A389" s="198" t="s">
        <v>1187</v>
      </c>
      <c r="B389" s="213" t="s">
        <v>1387</v>
      </c>
      <c r="C389" s="213" t="s">
        <v>1388</v>
      </c>
      <c r="D389" s="110" t="s">
        <v>196</v>
      </c>
      <c r="F389" s="198" t="s">
        <v>1187</v>
      </c>
      <c r="G389" s="220" t="str">
        <f t="shared" si="38"/>
        <v>佐用康啓</v>
      </c>
      <c r="H389" s="110" t="s">
        <v>217</v>
      </c>
      <c r="I389" s="214" t="s">
        <v>1252</v>
      </c>
      <c r="J389" s="212">
        <v>1983</v>
      </c>
      <c r="K389" s="119">
        <f t="shared" si="39"/>
        <v>33</v>
      </c>
      <c r="L389" s="109" t="str">
        <f t="shared" si="40"/>
        <v>OK</v>
      </c>
      <c r="M389" s="212" t="s">
        <v>828</v>
      </c>
    </row>
    <row r="390" spans="1:13" ht="13.5">
      <c r="A390" s="198" t="s">
        <v>1373</v>
      </c>
      <c r="B390" s="213" t="s">
        <v>1390</v>
      </c>
      <c r="C390" s="213" t="s">
        <v>1391</v>
      </c>
      <c r="D390" s="110" t="s">
        <v>210</v>
      </c>
      <c r="F390" s="198" t="s">
        <v>1373</v>
      </c>
      <c r="G390" s="220" t="str">
        <f t="shared" si="38"/>
        <v>岩田光央</v>
      </c>
      <c r="H390" s="110" t="s">
        <v>211</v>
      </c>
      <c r="I390" s="214" t="s">
        <v>1305</v>
      </c>
      <c r="J390" s="212">
        <v>1985</v>
      </c>
      <c r="K390" s="119">
        <f t="shared" si="39"/>
        <v>31</v>
      </c>
      <c r="L390" s="109" t="str">
        <f t="shared" si="40"/>
        <v>OK</v>
      </c>
      <c r="M390" s="212" t="s">
        <v>824</v>
      </c>
    </row>
    <row r="391" spans="1:13" ht="13.5">
      <c r="A391" s="198" t="s">
        <v>1376</v>
      </c>
      <c r="B391" s="213" t="s">
        <v>1393</v>
      </c>
      <c r="C391" s="213" t="s">
        <v>465</v>
      </c>
      <c r="D391" s="110" t="s">
        <v>218</v>
      </c>
      <c r="F391" s="198" t="s">
        <v>1376</v>
      </c>
      <c r="G391" s="220" t="str">
        <f t="shared" si="38"/>
        <v>月森 大</v>
      </c>
      <c r="H391" s="110" t="s">
        <v>198</v>
      </c>
      <c r="I391" s="214" t="s">
        <v>821</v>
      </c>
      <c r="J391" s="212">
        <v>1980</v>
      </c>
      <c r="K391" s="119">
        <f t="shared" si="39"/>
        <v>36</v>
      </c>
      <c r="L391" s="109" t="str">
        <f t="shared" si="40"/>
        <v>OK</v>
      </c>
      <c r="M391" s="201" t="s">
        <v>1354</v>
      </c>
    </row>
    <row r="392" spans="1:13" ht="13.5">
      <c r="A392" s="198" t="s">
        <v>1378</v>
      </c>
      <c r="B392" s="215" t="s">
        <v>1395</v>
      </c>
      <c r="C392" s="117" t="s">
        <v>1396</v>
      </c>
      <c r="D392" s="110" t="s">
        <v>188</v>
      </c>
      <c r="F392" s="198" t="s">
        <v>1378</v>
      </c>
      <c r="G392" s="220" t="str">
        <f t="shared" si="38"/>
        <v>三神秀嗣</v>
      </c>
      <c r="H392" s="110" t="s">
        <v>189</v>
      </c>
      <c r="I392" s="214" t="s">
        <v>1351</v>
      </c>
      <c r="J392" s="120">
        <v>1982</v>
      </c>
      <c r="K392" s="119">
        <f t="shared" si="39"/>
        <v>34</v>
      </c>
      <c r="L392" s="109" t="str">
        <f>IF(G392="","",IF(COUNTIF($G$24:$G$708,G392)&gt;1,"2重登録","OK"))</f>
        <v>OK</v>
      </c>
      <c r="M392" s="110" t="s">
        <v>681</v>
      </c>
    </row>
    <row r="393" spans="1:13" ht="13.5">
      <c r="A393" s="198" t="s">
        <v>1381</v>
      </c>
      <c r="B393" s="168" t="s">
        <v>1307</v>
      </c>
      <c r="C393" s="168" t="s">
        <v>728</v>
      </c>
      <c r="D393" s="110" t="s">
        <v>202</v>
      </c>
      <c r="F393" s="198" t="s">
        <v>1381</v>
      </c>
      <c r="G393" s="220" t="str">
        <f t="shared" si="38"/>
        <v>佐藤庸子</v>
      </c>
      <c r="H393" s="110" t="s">
        <v>198</v>
      </c>
      <c r="I393" s="112" t="s">
        <v>808</v>
      </c>
      <c r="J393" s="120">
        <v>1978</v>
      </c>
      <c r="K393" s="119">
        <f t="shared" si="39"/>
        <v>38</v>
      </c>
      <c r="L393" s="109" t="str">
        <f>IF(G393="","",IF(COUNTIF($G$24:$G$649,G393)&gt;1,"2重登録","OK"))</f>
        <v>OK</v>
      </c>
      <c r="M393" s="112" t="s">
        <v>1354</v>
      </c>
    </row>
    <row r="394" spans="1:13" ht="13.5">
      <c r="A394" s="198" t="s">
        <v>1384</v>
      </c>
      <c r="B394" s="215" t="s">
        <v>651</v>
      </c>
      <c r="C394" s="215" t="s">
        <v>652</v>
      </c>
      <c r="D394" s="110" t="s">
        <v>202</v>
      </c>
      <c r="E394" s="216"/>
      <c r="F394" s="198" t="s">
        <v>1384</v>
      </c>
      <c r="G394" s="220" t="str">
        <f t="shared" si="38"/>
        <v>遠崎大樹</v>
      </c>
      <c r="H394" s="110" t="s">
        <v>211</v>
      </c>
      <c r="I394" s="217" t="s">
        <v>1305</v>
      </c>
      <c r="J394" s="218">
        <v>1985</v>
      </c>
      <c r="K394" s="119">
        <f t="shared" si="39"/>
        <v>31</v>
      </c>
      <c r="L394" s="219" t="str">
        <f aca="true" t="shared" si="41" ref="L394:L406">IF(G394="","",IF(COUNTIF($G$24:$G$708,G394)&gt;1,"2重登録","OK"))</f>
        <v>OK</v>
      </c>
      <c r="M394" s="227" t="s">
        <v>829</v>
      </c>
    </row>
    <row r="395" spans="1:13" ht="13.5">
      <c r="A395" s="198" t="s">
        <v>1386</v>
      </c>
      <c r="B395" s="228" t="s">
        <v>1473</v>
      </c>
      <c r="C395" s="228" t="s">
        <v>1474</v>
      </c>
      <c r="D395" s="110" t="s">
        <v>202</v>
      </c>
      <c r="E395" s="216"/>
      <c r="F395" s="198" t="s">
        <v>1386</v>
      </c>
      <c r="G395" s="220" t="str">
        <f t="shared" si="38"/>
        <v>村田朋子</v>
      </c>
      <c r="H395" s="110" t="s">
        <v>219</v>
      </c>
      <c r="I395" s="271" t="s">
        <v>220</v>
      </c>
      <c r="J395" s="218">
        <v>1959</v>
      </c>
      <c r="K395" s="119">
        <f t="shared" si="39"/>
        <v>57</v>
      </c>
      <c r="L395" s="219" t="str">
        <f t="shared" si="41"/>
        <v>OK</v>
      </c>
      <c r="M395" s="112" t="s">
        <v>1354</v>
      </c>
    </row>
    <row r="396" spans="1:13" ht="13.5">
      <c r="A396" s="198" t="s">
        <v>1389</v>
      </c>
      <c r="B396" s="228" t="s">
        <v>466</v>
      </c>
      <c r="C396" s="228" t="s">
        <v>467</v>
      </c>
      <c r="D396" s="110" t="s">
        <v>188</v>
      </c>
      <c r="E396" s="216"/>
      <c r="F396" s="198" t="s">
        <v>1389</v>
      </c>
      <c r="G396" s="220" t="str">
        <f t="shared" si="38"/>
        <v>杉山あずさ</v>
      </c>
      <c r="H396" s="110" t="s">
        <v>189</v>
      </c>
      <c r="I396" s="271" t="s">
        <v>801</v>
      </c>
      <c r="J396" s="218">
        <v>1978</v>
      </c>
      <c r="K396" s="119">
        <f t="shared" si="39"/>
        <v>38</v>
      </c>
      <c r="L396" s="219" t="str">
        <f t="shared" si="41"/>
        <v>OK</v>
      </c>
      <c r="M396" s="200" t="s">
        <v>797</v>
      </c>
    </row>
    <row r="397" spans="1:13" s="210" customFormat="1" ht="13.5">
      <c r="A397" s="198" t="s">
        <v>1392</v>
      </c>
      <c r="B397" s="228" t="s">
        <v>1265</v>
      </c>
      <c r="C397" s="243" t="s">
        <v>468</v>
      </c>
      <c r="D397" s="110" t="s">
        <v>202</v>
      </c>
      <c r="E397" s="244"/>
      <c r="F397" s="198" t="s">
        <v>1392</v>
      </c>
      <c r="G397" s="220" t="str">
        <f t="shared" si="38"/>
        <v>西村文代</v>
      </c>
      <c r="H397" s="110" t="s">
        <v>198</v>
      </c>
      <c r="I397" s="271" t="s">
        <v>808</v>
      </c>
      <c r="J397" s="245">
        <v>1964</v>
      </c>
      <c r="K397" s="119">
        <f t="shared" si="39"/>
        <v>52</v>
      </c>
      <c r="L397" s="219" t="str">
        <f t="shared" si="41"/>
        <v>OK</v>
      </c>
      <c r="M397" s="200" t="s">
        <v>827</v>
      </c>
    </row>
    <row r="398" spans="1:13" s="210" customFormat="1" ht="13.5">
      <c r="A398" s="198" t="s">
        <v>1394</v>
      </c>
      <c r="B398" s="243" t="s">
        <v>469</v>
      </c>
      <c r="C398" s="243" t="s">
        <v>646</v>
      </c>
      <c r="D398" s="110" t="s">
        <v>202</v>
      </c>
      <c r="E398" s="244"/>
      <c r="F398" s="198" t="s">
        <v>1394</v>
      </c>
      <c r="G398" s="220" t="str">
        <f t="shared" si="38"/>
        <v>村田彩子</v>
      </c>
      <c r="H398" s="110" t="s">
        <v>198</v>
      </c>
      <c r="I398" s="271" t="s">
        <v>808</v>
      </c>
      <c r="J398" s="245">
        <v>1968</v>
      </c>
      <c r="K398" s="119">
        <f t="shared" si="39"/>
        <v>48</v>
      </c>
      <c r="L398" s="244" t="str">
        <f t="shared" si="41"/>
        <v>OK</v>
      </c>
      <c r="M398" s="244" t="s">
        <v>795</v>
      </c>
    </row>
    <row r="399" spans="1:13" s="210" customFormat="1" ht="13.5">
      <c r="A399" s="198" t="s">
        <v>727</v>
      </c>
      <c r="B399" s="243" t="s">
        <v>470</v>
      </c>
      <c r="C399" s="246" t="s">
        <v>728</v>
      </c>
      <c r="D399" s="110" t="s">
        <v>202</v>
      </c>
      <c r="E399" s="244"/>
      <c r="F399" s="198" t="s">
        <v>727</v>
      </c>
      <c r="G399" s="220" t="str">
        <f t="shared" si="38"/>
        <v>村川庸子</v>
      </c>
      <c r="H399" s="110" t="s">
        <v>209</v>
      </c>
      <c r="I399" s="271" t="s">
        <v>1422</v>
      </c>
      <c r="J399" s="245">
        <v>1969</v>
      </c>
      <c r="K399" s="119">
        <f t="shared" si="39"/>
        <v>47</v>
      </c>
      <c r="L399" s="244" t="str">
        <f t="shared" si="41"/>
        <v>OK</v>
      </c>
      <c r="M399" s="244" t="s">
        <v>809</v>
      </c>
    </row>
    <row r="400" spans="1:13" s="210" customFormat="1" ht="13.5">
      <c r="A400" s="198" t="s">
        <v>650</v>
      </c>
      <c r="B400" s="245" t="s">
        <v>1398</v>
      </c>
      <c r="C400" s="245" t="s">
        <v>471</v>
      </c>
      <c r="D400" s="110" t="s">
        <v>221</v>
      </c>
      <c r="E400" s="245"/>
      <c r="F400" s="198" t="s">
        <v>650</v>
      </c>
      <c r="G400" s="220" t="str">
        <f t="shared" si="38"/>
        <v>藤井洋平</v>
      </c>
      <c r="H400" s="110" t="s">
        <v>198</v>
      </c>
      <c r="I400" s="245" t="s">
        <v>821</v>
      </c>
      <c r="J400" s="245">
        <v>1991</v>
      </c>
      <c r="K400" s="119">
        <f t="shared" si="39"/>
        <v>25</v>
      </c>
      <c r="L400" s="245" t="str">
        <f t="shared" si="41"/>
        <v>OK</v>
      </c>
      <c r="M400" s="243" t="s">
        <v>1354</v>
      </c>
    </row>
    <row r="401" spans="1:13" s="210" customFormat="1" ht="13.5">
      <c r="A401" s="198" t="s">
        <v>1472</v>
      </c>
      <c r="B401" s="245" t="s">
        <v>472</v>
      </c>
      <c r="C401" s="245" t="s">
        <v>473</v>
      </c>
      <c r="D401" s="110" t="s">
        <v>222</v>
      </c>
      <c r="E401" s="245"/>
      <c r="F401" s="198" t="s">
        <v>1472</v>
      </c>
      <c r="G401" s="220" t="str">
        <f t="shared" si="38"/>
        <v>田淵敏史</v>
      </c>
      <c r="H401" s="110" t="s">
        <v>189</v>
      </c>
      <c r="I401" s="245" t="s">
        <v>1351</v>
      </c>
      <c r="J401" s="245">
        <v>1991</v>
      </c>
      <c r="K401" s="119">
        <f t="shared" si="39"/>
        <v>25</v>
      </c>
      <c r="L401" s="245" t="str">
        <f t="shared" si="41"/>
        <v>OK</v>
      </c>
      <c r="M401" s="243" t="s">
        <v>1354</v>
      </c>
    </row>
    <row r="402" spans="1:13" s="210" customFormat="1" ht="13.5">
      <c r="A402" s="198" t="s">
        <v>474</v>
      </c>
      <c r="B402" s="245" t="s">
        <v>475</v>
      </c>
      <c r="C402" s="245" t="s">
        <v>476</v>
      </c>
      <c r="D402" s="110" t="s">
        <v>223</v>
      </c>
      <c r="E402" s="245"/>
      <c r="F402" s="198" t="s">
        <v>474</v>
      </c>
      <c r="G402" s="220" t="str">
        <f t="shared" si="38"/>
        <v>穐山  航</v>
      </c>
      <c r="H402" s="110" t="s">
        <v>189</v>
      </c>
      <c r="I402" s="245" t="s">
        <v>1351</v>
      </c>
      <c r="J402" s="245">
        <v>1989</v>
      </c>
      <c r="K402" s="119">
        <f t="shared" si="39"/>
        <v>27</v>
      </c>
      <c r="L402" s="245" t="str">
        <f t="shared" si="41"/>
        <v>OK</v>
      </c>
      <c r="M402" s="243" t="s">
        <v>1354</v>
      </c>
    </row>
    <row r="403" spans="1:13" s="210" customFormat="1" ht="13.5">
      <c r="A403" s="198" t="s">
        <v>477</v>
      </c>
      <c r="B403" s="245" t="s">
        <v>1265</v>
      </c>
      <c r="C403" s="245" t="s">
        <v>478</v>
      </c>
      <c r="D403" s="110" t="s">
        <v>224</v>
      </c>
      <c r="E403" s="244"/>
      <c r="F403" s="198" t="s">
        <v>477</v>
      </c>
      <c r="G403" s="220" t="str">
        <f t="shared" si="38"/>
        <v>西村国太郎</v>
      </c>
      <c r="H403" s="110" t="s">
        <v>189</v>
      </c>
      <c r="I403" s="245" t="s">
        <v>1351</v>
      </c>
      <c r="J403" s="245">
        <v>1942</v>
      </c>
      <c r="K403" s="245">
        <f t="shared" si="39"/>
        <v>74</v>
      </c>
      <c r="L403" s="245" t="str">
        <f t="shared" si="41"/>
        <v>OK</v>
      </c>
      <c r="M403" s="243" t="s">
        <v>1354</v>
      </c>
    </row>
    <row r="404" spans="1:14" s="278" customFormat="1" ht="13.5">
      <c r="A404" s="280" t="s">
        <v>479</v>
      </c>
      <c r="B404" s="243" t="s">
        <v>225</v>
      </c>
      <c r="C404" s="243" t="s">
        <v>226</v>
      </c>
      <c r="D404" s="110" t="s">
        <v>202</v>
      </c>
      <c r="E404" s="281"/>
      <c r="F404" s="280" t="s">
        <v>479</v>
      </c>
      <c r="G404" s="245" t="s">
        <v>227</v>
      </c>
      <c r="H404" s="110" t="s">
        <v>217</v>
      </c>
      <c r="I404" s="245" t="s">
        <v>1641</v>
      </c>
      <c r="J404" s="245">
        <v>1994</v>
      </c>
      <c r="K404" s="245">
        <f>IF(J404="","",(2016-J404))</f>
        <v>22</v>
      </c>
      <c r="L404" s="245" t="str">
        <f t="shared" si="41"/>
        <v>OK</v>
      </c>
      <c r="M404" s="245" t="s">
        <v>1352</v>
      </c>
      <c r="N404" s="282"/>
    </row>
    <row r="405" spans="1:14" s="278" customFormat="1" ht="13.5">
      <c r="A405" s="280" t="s">
        <v>480</v>
      </c>
      <c r="B405" s="243" t="s">
        <v>1498</v>
      </c>
      <c r="C405" s="243" t="s">
        <v>228</v>
      </c>
      <c r="D405" s="110" t="s">
        <v>210</v>
      </c>
      <c r="E405" s="281"/>
      <c r="F405" s="280" t="s">
        <v>480</v>
      </c>
      <c r="G405" s="245" t="s">
        <v>229</v>
      </c>
      <c r="H405" s="110" t="s">
        <v>198</v>
      </c>
      <c r="I405" s="245" t="s">
        <v>808</v>
      </c>
      <c r="J405" s="245">
        <v>1970</v>
      </c>
      <c r="K405" s="245">
        <f>IF(J405="","",(2016-J405))</f>
        <v>46</v>
      </c>
      <c r="L405" s="245" t="str">
        <f t="shared" si="41"/>
        <v>OK</v>
      </c>
      <c r="M405" s="245" t="s">
        <v>827</v>
      </c>
      <c r="N405" s="282"/>
    </row>
    <row r="406" spans="1:14" s="210" customFormat="1" ht="13.5">
      <c r="A406" s="198" t="s">
        <v>230</v>
      </c>
      <c r="B406" s="245" t="s">
        <v>231</v>
      </c>
      <c r="C406" s="245" t="s">
        <v>232</v>
      </c>
      <c r="D406" s="110" t="s">
        <v>233</v>
      </c>
      <c r="E406" s="244"/>
      <c r="F406" s="198" t="s">
        <v>230</v>
      </c>
      <c r="G406" s="245" t="s">
        <v>234</v>
      </c>
      <c r="H406" s="110" t="s">
        <v>235</v>
      </c>
      <c r="I406" s="245" t="s">
        <v>236</v>
      </c>
      <c r="J406" s="245">
        <v>2004</v>
      </c>
      <c r="K406" s="245">
        <f>IF(J406="","",(2016-J406))</f>
        <v>12</v>
      </c>
      <c r="L406" s="245" t="str">
        <f t="shared" si="41"/>
        <v>OK</v>
      </c>
      <c r="M406" s="245" t="s">
        <v>797</v>
      </c>
      <c r="N406" s="209"/>
    </row>
    <row r="407" spans="2:13" ht="13.5">
      <c r="B407" s="117"/>
      <c r="C407" s="117"/>
      <c r="D407" s="110"/>
      <c r="E407" s="108"/>
      <c r="F407" s="109"/>
      <c r="G407" s="108"/>
      <c r="H407" s="110"/>
      <c r="I407" s="110"/>
      <c r="J407" s="120"/>
      <c r="K407" s="119"/>
      <c r="L407" s="109">
        <f aca="true" t="shared" si="42" ref="L407:L414">IF(G407="","",IF(COUNTIF($G$24:$G$617,G407)&gt;1,"2重登録","OK"))</f>
      </c>
      <c r="M407" s="110"/>
    </row>
    <row r="408" spans="2:13" ht="13.5">
      <c r="B408" s="117"/>
      <c r="C408" s="117"/>
      <c r="D408" s="110"/>
      <c r="E408" s="108"/>
      <c r="F408" s="109"/>
      <c r="G408" s="108"/>
      <c r="H408" s="110"/>
      <c r="I408" s="110"/>
      <c r="J408" s="120"/>
      <c r="K408" s="119"/>
      <c r="L408" s="109">
        <f t="shared" si="42"/>
      </c>
      <c r="M408" s="110"/>
    </row>
    <row r="409" spans="2:13" ht="13.5">
      <c r="B409" s="117"/>
      <c r="C409" s="117"/>
      <c r="D409" s="110"/>
      <c r="E409" s="108"/>
      <c r="F409" s="109"/>
      <c r="G409" s="108"/>
      <c r="H409" s="110"/>
      <c r="I409" s="110"/>
      <c r="J409" s="120"/>
      <c r="K409" s="119"/>
      <c r="L409" s="109">
        <f t="shared" si="42"/>
      </c>
      <c r="M409" s="110"/>
    </row>
    <row r="410" spans="2:13" ht="13.5">
      <c r="B410" s="117" t="s">
        <v>237</v>
      </c>
      <c r="C410" s="117" t="s">
        <v>238</v>
      </c>
      <c r="D410" s="110"/>
      <c r="E410" s="108"/>
      <c r="F410" s="109"/>
      <c r="G410" s="108"/>
      <c r="H410" s="110"/>
      <c r="I410" s="110"/>
      <c r="J410" s="120"/>
      <c r="K410" s="119"/>
      <c r="L410" s="109">
        <f t="shared" si="42"/>
      </c>
      <c r="M410" s="110"/>
    </row>
    <row r="411" spans="2:13" ht="13.5">
      <c r="B411" s="117"/>
      <c r="C411" s="117"/>
      <c r="D411" s="110"/>
      <c r="E411" s="108"/>
      <c r="F411" s="109"/>
      <c r="G411" s="108"/>
      <c r="H411" s="110"/>
      <c r="I411" s="110"/>
      <c r="J411" s="120"/>
      <c r="K411" s="119"/>
      <c r="L411" s="109">
        <f t="shared" si="42"/>
      </c>
      <c r="M411" s="110"/>
    </row>
    <row r="412" spans="2:13" ht="13.5">
      <c r="B412" s="108"/>
      <c r="C412" s="108"/>
      <c r="D412" s="108"/>
      <c r="E412" s="108"/>
      <c r="F412" s="109"/>
      <c r="G412" s="108"/>
      <c r="H412" s="108"/>
      <c r="I412" s="111"/>
      <c r="J412" s="121"/>
      <c r="K412" s="119"/>
      <c r="L412" s="109">
        <f t="shared" si="42"/>
      </c>
      <c r="M412" s="113"/>
    </row>
    <row r="413" spans="2:13" ht="13.5">
      <c r="B413" s="661" t="s">
        <v>481</v>
      </c>
      <c r="C413" s="661"/>
      <c r="D413" s="671" t="s">
        <v>482</v>
      </c>
      <c r="E413" s="671"/>
      <c r="F413" s="671"/>
      <c r="G413" s="671"/>
      <c r="H413" s="671"/>
      <c r="J413" s="124"/>
      <c r="K413" s="124"/>
      <c r="L413" s="109">
        <f t="shared" si="42"/>
      </c>
      <c r="M413" s="124"/>
    </row>
    <row r="414" spans="1:12" s="124" customFormat="1" ht="13.5">
      <c r="A414" s="107"/>
      <c r="B414" s="661"/>
      <c r="C414" s="661"/>
      <c r="D414" s="671"/>
      <c r="E414" s="671"/>
      <c r="F414" s="671"/>
      <c r="G414" s="671"/>
      <c r="H414" s="671"/>
      <c r="I414" s="109">
        <f>IF(D414="","",IF(COUNTIF($G$23:$G$41,D414)&gt;1,"2重登録","OK"))</f>
      </c>
      <c r="J414" s="107"/>
      <c r="L414" s="109">
        <f t="shared" si="42"/>
      </c>
    </row>
    <row r="415" spans="1:12" s="124" customFormat="1" ht="15">
      <c r="A415" s="107"/>
      <c r="B415" s="184"/>
      <c r="C415" s="155"/>
      <c r="G415" s="107" t="s">
        <v>1370</v>
      </c>
      <c r="H415" s="658" t="s">
        <v>1371</v>
      </c>
      <c r="I415" s="658"/>
      <c r="J415" s="658"/>
      <c r="K415" s="109"/>
      <c r="L415" s="109"/>
    </row>
    <row r="416" spans="1:12" s="124" customFormat="1" ht="13.5">
      <c r="A416" s="107"/>
      <c r="B416" s="185"/>
      <c r="C416" s="155"/>
      <c r="G416" s="141">
        <f>COUNTIF(M419:M444,"東近江市")</f>
        <v>4</v>
      </c>
      <c r="H416" s="664">
        <f>(G416/RIGHT(A450,2))</f>
        <v>0.125</v>
      </c>
      <c r="I416" s="664"/>
      <c r="J416" s="664"/>
      <c r="K416" s="109"/>
      <c r="L416" s="109"/>
    </row>
    <row r="417" spans="1:13" s="124" customFormat="1" ht="13.5">
      <c r="A417" s="107"/>
      <c r="B417" s="108" t="s">
        <v>731</v>
      </c>
      <c r="C417" s="108"/>
      <c r="D417" s="136" t="s">
        <v>1429</v>
      </c>
      <c r="E417" s="107"/>
      <c r="F417" s="109"/>
      <c r="G417" s="107"/>
      <c r="H417" s="107"/>
      <c r="I417" s="107"/>
      <c r="J417" s="118"/>
      <c r="K417" s="119"/>
      <c r="L417" s="109">
        <f>IF(G417="","",IF(COUNTIF($G$24:$G$617,G417)&gt;1,"2重登録","OK"))</f>
      </c>
      <c r="M417" s="107"/>
    </row>
    <row r="418" spans="1:13" s="124" customFormat="1" ht="13.5">
      <c r="A418" s="107"/>
      <c r="B418" s="676" t="s">
        <v>637</v>
      </c>
      <c r="C418" s="654"/>
      <c r="D418" s="142" t="s">
        <v>1430</v>
      </c>
      <c r="E418" s="107"/>
      <c r="F418" s="109"/>
      <c r="G418" s="107" t="str">
        <f aca="true" t="shared" si="43" ref="G418:G450">B418&amp;C418</f>
        <v>湖東プラチナ</v>
      </c>
      <c r="H418" s="107"/>
      <c r="I418" s="107"/>
      <c r="J418" s="118"/>
      <c r="K418" s="119" t="s">
        <v>483</v>
      </c>
      <c r="L418" s="109"/>
      <c r="M418" s="107"/>
    </row>
    <row r="419" spans="1:13" s="124" customFormat="1" ht="13.5">
      <c r="A419" s="107" t="s">
        <v>484</v>
      </c>
      <c r="B419" s="108" t="s">
        <v>734</v>
      </c>
      <c r="C419" s="108" t="s">
        <v>810</v>
      </c>
      <c r="D419" s="107" t="s">
        <v>780</v>
      </c>
      <c r="E419" s="107"/>
      <c r="F419" s="107" t="s">
        <v>485</v>
      </c>
      <c r="G419" s="107" t="str">
        <f t="shared" si="43"/>
        <v>大林久</v>
      </c>
      <c r="H419" s="111" t="s">
        <v>637</v>
      </c>
      <c r="I419" s="111" t="s">
        <v>1214</v>
      </c>
      <c r="J419" s="169">
        <v>1938</v>
      </c>
      <c r="K419" s="119">
        <f>IF(J419="","",(2016-J419))</f>
        <v>78</v>
      </c>
      <c r="L419" s="109" t="str">
        <f aca="true" t="shared" si="44" ref="L419:L462">IF(G419="","",IF(COUNTIF($G$24:$G$617,G419)&gt;1,"2重登録","OK"))</f>
        <v>OK</v>
      </c>
      <c r="M419" s="108" t="s">
        <v>825</v>
      </c>
    </row>
    <row r="420" spans="1:13" s="124" customFormat="1" ht="13.5">
      <c r="A420" s="107" t="s">
        <v>653</v>
      </c>
      <c r="B420" s="108" t="s">
        <v>740</v>
      </c>
      <c r="C420" s="108" t="s">
        <v>741</v>
      </c>
      <c r="D420" s="107" t="s">
        <v>780</v>
      </c>
      <c r="F420" s="107" t="s">
        <v>486</v>
      </c>
      <c r="G420" s="107" t="str">
        <f t="shared" si="43"/>
        <v>高田洋治</v>
      </c>
      <c r="H420" s="111" t="s">
        <v>637</v>
      </c>
      <c r="I420" s="111" t="s">
        <v>1214</v>
      </c>
      <c r="J420" s="169">
        <v>1942</v>
      </c>
      <c r="K420" s="119">
        <f aca="true" t="shared" si="45" ref="K420:K450">IF(J420="","",(2016-J420))</f>
        <v>74</v>
      </c>
      <c r="L420" s="109" t="str">
        <f t="shared" si="44"/>
        <v>OK</v>
      </c>
      <c r="M420" s="108" t="s">
        <v>825</v>
      </c>
    </row>
    <row r="421" spans="1:13" s="124" customFormat="1" ht="13.5">
      <c r="A421" s="107" t="s">
        <v>732</v>
      </c>
      <c r="B421" s="108" t="s">
        <v>1218</v>
      </c>
      <c r="C421" s="108" t="s">
        <v>487</v>
      </c>
      <c r="D421" s="107" t="s">
        <v>780</v>
      </c>
      <c r="F421" s="107" t="s">
        <v>732</v>
      </c>
      <c r="G421" s="107" t="str">
        <f t="shared" si="43"/>
        <v>中野 潤</v>
      </c>
      <c r="H421" s="111" t="s">
        <v>637</v>
      </c>
      <c r="I421" s="111" t="s">
        <v>1214</v>
      </c>
      <c r="J421" s="169">
        <v>1948</v>
      </c>
      <c r="K421" s="119">
        <f t="shared" si="45"/>
        <v>68</v>
      </c>
      <c r="L421" s="109" t="str">
        <f t="shared" si="44"/>
        <v>OK</v>
      </c>
      <c r="M421" s="108" t="s">
        <v>1356</v>
      </c>
    </row>
    <row r="422" spans="1:13" s="124" customFormat="1" ht="13.5">
      <c r="A422" s="107" t="s">
        <v>733</v>
      </c>
      <c r="B422" s="108" t="s">
        <v>1218</v>
      </c>
      <c r="C422" s="108" t="s">
        <v>1219</v>
      </c>
      <c r="D422" s="107" t="s">
        <v>780</v>
      </c>
      <c r="F422" s="107" t="s">
        <v>733</v>
      </c>
      <c r="G422" s="107" t="str">
        <f>B422&amp;C422</f>
        <v>中野哲也</v>
      </c>
      <c r="H422" s="111" t="s">
        <v>637</v>
      </c>
      <c r="I422" s="111" t="s">
        <v>1214</v>
      </c>
      <c r="J422" s="169">
        <v>1947</v>
      </c>
      <c r="K422" s="119">
        <f t="shared" si="45"/>
        <v>69</v>
      </c>
      <c r="L422" s="109" t="str">
        <f t="shared" si="44"/>
        <v>OK</v>
      </c>
      <c r="M422" s="108" t="s">
        <v>825</v>
      </c>
    </row>
    <row r="423" spans="1:13" s="124" customFormat="1" ht="13.5">
      <c r="A423" s="107" t="s">
        <v>735</v>
      </c>
      <c r="B423" s="107" t="s">
        <v>488</v>
      </c>
      <c r="C423" s="107" t="s">
        <v>489</v>
      </c>
      <c r="D423" s="107" t="s">
        <v>239</v>
      </c>
      <c r="E423"/>
      <c r="F423" s="107" t="s">
        <v>735</v>
      </c>
      <c r="G423" s="107" t="str">
        <f>B423&amp;C423</f>
        <v>堀江孝信</v>
      </c>
      <c r="H423" s="229" t="s">
        <v>638</v>
      </c>
      <c r="I423" s="111" t="s">
        <v>821</v>
      </c>
      <c r="J423" s="169">
        <v>1942</v>
      </c>
      <c r="K423" s="119">
        <f t="shared" si="45"/>
        <v>74</v>
      </c>
      <c r="L423" s="109" t="str">
        <f t="shared" si="44"/>
        <v>OK</v>
      </c>
      <c r="M423" s="183" t="s">
        <v>825</v>
      </c>
    </row>
    <row r="424" spans="1:15" ht="13.5">
      <c r="A424" s="107" t="s">
        <v>736</v>
      </c>
      <c r="B424" s="108" t="s">
        <v>748</v>
      </c>
      <c r="C424" s="108" t="s">
        <v>749</v>
      </c>
      <c r="D424" s="107" t="s">
        <v>780</v>
      </c>
      <c r="E424" s="124"/>
      <c r="F424" s="107" t="s">
        <v>736</v>
      </c>
      <c r="G424" s="107" t="str">
        <f t="shared" si="43"/>
        <v>羽田昭夫</v>
      </c>
      <c r="H424" s="111" t="s">
        <v>637</v>
      </c>
      <c r="I424" s="111" t="s">
        <v>1214</v>
      </c>
      <c r="J424" s="169">
        <v>1943</v>
      </c>
      <c r="K424" s="119">
        <f t="shared" si="45"/>
        <v>73</v>
      </c>
      <c r="L424" s="109" t="str">
        <f t="shared" si="44"/>
        <v>OK</v>
      </c>
      <c r="M424" s="220" t="s">
        <v>1449</v>
      </c>
      <c r="O424" s="247"/>
    </row>
    <row r="425" spans="1:13" s="124" customFormat="1" ht="13.5">
      <c r="A425" s="107" t="s">
        <v>737</v>
      </c>
      <c r="B425" s="108" t="s">
        <v>751</v>
      </c>
      <c r="C425" s="108" t="s">
        <v>752</v>
      </c>
      <c r="D425" s="107" t="s">
        <v>780</v>
      </c>
      <c r="F425" s="107" t="s">
        <v>737</v>
      </c>
      <c r="G425" s="107" t="str">
        <f t="shared" si="43"/>
        <v>樋山達哉</v>
      </c>
      <c r="H425" s="111" t="s">
        <v>637</v>
      </c>
      <c r="I425" s="111" t="s">
        <v>1214</v>
      </c>
      <c r="J425" s="169">
        <v>1944</v>
      </c>
      <c r="K425" s="119">
        <f t="shared" si="45"/>
        <v>72</v>
      </c>
      <c r="L425" s="109" t="str">
        <f t="shared" si="44"/>
        <v>OK</v>
      </c>
      <c r="M425" s="108" t="s">
        <v>812</v>
      </c>
    </row>
    <row r="426" spans="1:13" s="124" customFormat="1" ht="13.5">
      <c r="A426" s="107" t="s">
        <v>738</v>
      </c>
      <c r="B426" s="108" t="s">
        <v>1220</v>
      </c>
      <c r="C426" s="108" t="s">
        <v>1221</v>
      </c>
      <c r="D426" s="107" t="s">
        <v>240</v>
      </c>
      <c r="F426" s="107" t="s">
        <v>738</v>
      </c>
      <c r="G426" s="107" t="str">
        <f t="shared" si="43"/>
        <v>藤本昌彦</v>
      </c>
      <c r="H426" s="111" t="s">
        <v>637</v>
      </c>
      <c r="I426" s="111" t="s">
        <v>1214</v>
      </c>
      <c r="J426" s="169">
        <v>1939</v>
      </c>
      <c r="K426" s="119">
        <f t="shared" si="45"/>
        <v>77</v>
      </c>
      <c r="L426" s="109" t="str">
        <f t="shared" si="44"/>
        <v>OK</v>
      </c>
      <c r="M426" s="108" t="s">
        <v>825</v>
      </c>
    </row>
    <row r="427" spans="1:13" s="124" customFormat="1" ht="13.5">
      <c r="A427" s="107" t="s">
        <v>739</v>
      </c>
      <c r="B427" s="108" t="s">
        <v>1222</v>
      </c>
      <c r="C427" s="108" t="s">
        <v>1223</v>
      </c>
      <c r="D427" s="107" t="s">
        <v>241</v>
      </c>
      <c r="F427" s="107" t="s">
        <v>739</v>
      </c>
      <c r="G427" s="107" t="str">
        <f t="shared" si="43"/>
        <v>安田和彦</v>
      </c>
      <c r="H427" s="111" t="s">
        <v>637</v>
      </c>
      <c r="I427" s="111" t="s">
        <v>1214</v>
      </c>
      <c r="J427" s="169">
        <v>1945</v>
      </c>
      <c r="K427" s="119">
        <f t="shared" si="45"/>
        <v>71</v>
      </c>
      <c r="L427" s="109" t="str">
        <f t="shared" si="44"/>
        <v>OK</v>
      </c>
      <c r="M427" s="108" t="s">
        <v>825</v>
      </c>
    </row>
    <row r="428" spans="1:13" s="124" customFormat="1" ht="13.5">
      <c r="A428" s="107" t="s">
        <v>742</v>
      </c>
      <c r="B428" s="108" t="s">
        <v>1232</v>
      </c>
      <c r="C428" s="108" t="s">
        <v>761</v>
      </c>
      <c r="D428" s="107" t="s">
        <v>731</v>
      </c>
      <c r="F428" s="107" t="s">
        <v>742</v>
      </c>
      <c r="G428" s="107" t="str">
        <f t="shared" si="43"/>
        <v>吉田知司</v>
      </c>
      <c r="H428" s="111" t="s">
        <v>637</v>
      </c>
      <c r="I428" s="111" t="s">
        <v>1214</v>
      </c>
      <c r="J428" s="169">
        <v>1948</v>
      </c>
      <c r="K428" s="119">
        <f t="shared" si="45"/>
        <v>68</v>
      </c>
      <c r="L428" s="109" t="str">
        <f t="shared" si="44"/>
        <v>OK</v>
      </c>
      <c r="M428" s="108" t="s">
        <v>825</v>
      </c>
    </row>
    <row r="429" spans="1:13" s="124" customFormat="1" ht="13.5">
      <c r="A429" s="107" t="s">
        <v>743</v>
      </c>
      <c r="B429" s="108" t="s">
        <v>1243</v>
      </c>
      <c r="C429" s="108" t="s">
        <v>654</v>
      </c>
      <c r="D429" s="107" t="s">
        <v>781</v>
      </c>
      <c r="E429" s="107"/>
      <c r="F429" s="107" t="s">
        <v>743</v>
      </c>
      <c r="G429" s="107" t="str">
        <f>B429&amp;C429</f>
        <v>山田直八</v>
      </c>
      <c r="H429" s="111" t="s">
        <v>637</v>
      </c>
      <c r="I429" s="111" t="s">
        <v>1214</v>
      </c>
      <c r="J429" s="169">
        <v>1972</v>
      </c>
      <c r="K429" s="119">
        <f t="shared" si="45"/>
        <v>44</v>
      </c>
      <c r="L429" s="109" t="str">
        <f t="shared" si="44"/>
        <v>OK</v>
      </c>
      <c r="M429" s="108" t="s">
        <v>812</v>
      </c>
    </row>
    <row r="430" spans="1:13" s="124" customFormat="1" ht="13.5">
      <c r="A430" s="107" t="s">
        <v>744</v>
      </c>
      <c r="B430" s="108" t="s">
        <v>490</v>
      </c>
      <c r="C430" s="108" t="s">
        <v>491</v>
      </c>
      <c r="D430" s="107" t="s">
        <v>780</v>
      </c>
      <c r="E430" s="107"/>
      <c r="F430" s="107" t="s">
        <v>744</v>
      </c>
      <c r="G430" s="107" t="str">
        <f>B430&amp;C430</f>
        <v>新屋正男</v>
      </c>
      <c r="H430" s="111" t="s">
        <v>637</v>
      </c>
      <c r="I430" s="111" t="s">
        <v>821</v>
      </c>
      <c r="J430" s="169">
        <v>1943</v>
      </c>
      <c r="K430" s="119">
        <f t="shared" si="45"/>
        <v>73</v>
      </c>
      <c r="L430" s="109" t="str">
        <f t="shared" si="44"/>
        <v>OK</v>
      </c>
      <c r="M430" s="108" t="s">
        <v>825</v>
      </c>
    </row>
    <row r="431" spans="1:13" s="124" customFormat="1" ht="13.5">
      <c r="A431" s="107" t="s">
        <v>745</v>
      </c>
      <c r="B431" s="108" t="s">
        <v>492</v>
      </c>
      <c r="C431" s="108" t="s">
        <v>493</v>
      </c>
      <c r="D431" s="107" t="s">
        <v>242</v>
      </c>
      <c r="E431" s="107"/>
      <c r="F431" s="107" t="s">
        <v>745</v>
      </c>
      <c r="G431" s="107" t="str">
        <f>B431&amp;C431</f>
        <v>青木保憲</v>
      </c>
      <c r="H431" s="111" t="s">
        <v>637</v>
      </c>
      <c r="I431" s="111" t="s">
        <v>821</v>
      </c>
      <c r="J431" s="169">
        <v>1949</v>
      </c>
      <c r="K431" s="119">
        <f t="shared" si="45"/>
        <v>67</v>
      </c>
      <c r="L431" s="109" t="str">
        <f t="shared" si="44"/>
        <v>OK</v>
      </c>
      <c r="M431" s="108" t="s">
        <v>825</v>
      </c>
    </row>
    <row r="432" spans="1:13" s="124" customFormat="1" ht="13.5">
      <c r="A432" s="107" t="s">
        <v>746</v>
      </c>
      <c r="B432" s="108" t="s">
        <v>1217</v>
      </c>
      <c r="C432" s="108" t="s">
        <v>494</v>
      </c>
      <c r="D432" s="107" t="s">
        <v>780</v>
      </c>
      <c r="E432" s="107"/>
      <c r="F432" s="107" t="s">
        <v>746</v>
      </c>
      <c r="G432" s="107" t="str">
        <f>B432&amp;C432</f>
        <v>谷口一男</v>
      </c>
      <c r="H432" s="111" t="s">
        <v>637</v>
      </c>
      <c r="I432" s="111" t="s">
        <v>821</v>
      </c>
      <c r="J432" s="169">
        <v>1947</v>
      </c>
      <c r="K432" s="119">
        <f t="shared" si="45"/>
        <v>69</v>
      </c>
      <c r="L432" s="109" t="str">
        <f t="shared" si="44"/>
        <v>OK</v>
      </c>
      <c r="M432" s="231" t="s">
        <v>1372</v>
      </c>
    </row>
    <row r="433" spans="1:13" s="124" customFormat="1" ht="13.5">
      <c r="A433" s="107" t="s">
        <v>747</v>
      </c>
      <c r="B433" s="113" t="s">
        <v>763</v>
      </c>
      <c r="C433" s="113" t="s">
        <v>1224</v>
      </c>
      <c r="D433" s="107" t="s">
        <v>243</v>
      </c>
      <c r="F433" s="107" t="s">
        <v>747</v>
      </c>
      <c r="G433" s="107" t="str">
        <f t="shared" si="43"/>
        <v>飯塚アイ子</v>
      </c>
      <c r="H433" s="111" t="s">
        <v>637</v>
      </c>
      <c r="I433" s="114" t="s">
        <v>1409</v>
      </c>
      <c r="J433" s="169">
        <v>1943</v>
      </c>
      <c r="K433" s="119">
        <f t="shared" si="45"/>
        <v>73</v>
      </c>
      <c r="L433" s="109" t="str">
        <f t="shared" si="44"/>
        <v>OK</v>
      </c>
      <c r="M433" s="108" t="s">
        <v>825</v>
      </c>
    </row>
    <row r="434" spans="1:13" s="124" customFormat="1" ht="13.5">
      <c r="A434" s="107" t="s">
        <v>750</v>
      </c>
      <c r="B434" s="113" t="s">
        <v>1225</v>
      </c>
      <c r="C434" s="113" t="s">
        <v>1226</v>
      </c>
      <c r="D434" s="107" t="s">
        <v>780</v>
      </c>
      <c r="F434" s="107" t="s">
        <v>750</v>
      </c>
      <c r="G434" s="107" t="str">
        <f t="shared" si="43"/>
        <v>大橋富子</v>
      </c>
      <c r="H434" s="111" t="s">
        <v>637</v>
      </c>
      <c r="I434" s="114" t="s">
        <v>1409</v>
      </c>
      <c r="J434" s="169">
        <v>1949</v>
      </c>
      <c r="K434" s="119">
        <f t="shared" si="45"/>
        <v>67</v>
      </c>
      <c r="L434" s="109" t="str">
        <f t="shared" si="44"/>
        <v>OK</v>
      </c>
      <c r="M434" s="108" t="s">
        <v>827</v>
      </c>
    </row>
    <row r="435" spans="1:13" s="124" customFormat="1" ht="13.5">
      <c r="A435" s="107" t="s">
        <v>753</v>
      </c>
      <c r="B435" s="113" t="s">
        <v>1406</v>
      </c>
      <c r="C435" s="113" t="s">
        <v>655</v>
      </c>
      <c r="D435" s="107" t="s">
        <v>780</v>
      </c>
      <c r="E435"/>
      <c r="F435" s="107" t="s">
        <v>753</v>
      </c>
      <c r="G435" s="107" t="str">
        <f>B435&amp;C435</f>
        <v>北川美由紀</v>
      </c>
      <c r="H435" s="111" t="s">
        <v>637</v>
      </c>
      <c r="I435" s="114" t="s">
        <v>1409</v>
      </c>
      <c r="J435" s="169">
        <v>1949</v>
      </c>
      <c r="K435" s="119">
        <f t="shared" si="45"/>
        <v>67</v>
      </c>
      <c r="L435" s="109" t="str">
        <f t="shared" si="44"/>
        <v>OK</v>
      </c>
      <c r="M435" s="108" t="s">
        <v>812</v>
      </c>
    </row>
    <row r="436" spans="1:13" ht="13.5">
      <c r="A436" s="107" t="s">
        <v>754</v>
      </c>
      <c r="B436" s="113" t="s">
        <v>782</v>
      </c>
      <c r="C436" s="113" t="s">
        <v>783</v>
      </c>
      <c r="D436" s="107" t="s">
        <v>780</v>
      </c>
      <c r="E436" s="124"/>
      <c r="F436" s="107" t="s">
        <v>754</v>
      </c>
      <c r="G436" s="107" t="str">
        <f t="shared" si="43"/>
        <v>澤井恵子</v>
      </c>
      <c r="H436" s="111" t="s">
        <v>637</v>
      </c>
      <c r="I436" s="114" t="s">
        <v>1409</v>
      </c>
      <c r="J436" s="169">
        <v>1948</v>
      </c>
      <c r="K436" s="119">
        <f t="shared" si="45"/>
        <v>68</v>
      </c>
      <c r="L436" s="109" t="str">
        <f t="shared" si="44"/>
        <v>OK</v>
      </c>
      <c r="M436" s="231" t="s">
        <v>1372</v>
      </c>
    </row>
    <row r="437" spans="1:13" s="124" customFormat="1" ht="13.5">
      <c r="A437" s="107" t="s">
        <v>755</v>
      </c>
      <c r="B437" s="113" t="s">
        <v>819</v>
      </c>
      <c r="C437" s="113" t="s">
        <v>820</v>
      </c>
      <c r="D437" s="107" t="s">
        <v>780</v>
      </c>
      <c r="F437" s="107" t="s">
        <v>755</v>
      </c>
      <c r="G437" s="107" t="str">
        <f t="shared" si="43"/>
        <v>平野志津子</v>
      </c>
      <c r="H437" s="111" t="s">
        <v>637</v>
      </c>
      <c r="I437" s="114" t="s">
        <v>1409</v>
      </c>
      <c r="J437" s="169">
        <v>1956</v>
      </c>
      <c r="K437" s="119">
        <f t="shared" si="45"/>
        <v>60</v>
      </c>
      <c r="L437" s="109" t="str">
        <f t="shared" si="44"/>
        <v>OK</v>
      </c>
      <c r="M437" s="108" t="s">
        <v>825</v>
      </c>
    </row>
    <row r="438" spans="1:13" s="124" customFormat="1" ht="13.5">
      <c r="A438" s="107" t="s">
        <v>758</v>
      </c>
      <c r="B438" s="113" t="s">
        <v>1227</v>
      </c>
      <c r="C438" s="113" t="s">
        <v>1228</v>
      </c>
      <c r="D438" s="107" t="s">
        <v>780</v>
      </c>
      <c r="F438" s="107" t="s">
        <v>758</v>
      </c>
      <c r="G438" s="107" t="str">
        <f t="shared" si="43"/>
        <v>堀部品子</v>
      </c>
      <c r="H438" s="111" t="s">
        <v>637</v>
      </c>
      <c r="I438" s="114" t="s">
        <v>1409</v>
      </c>
      <c r="J438" s="169">
        <v>1951</v>
      </c>
      <c r="K438" s="119">
        <f t="shared" si="45"/>
        <v>65</v>
      </c>
      <c r="L438" s="109" t="str">
        <f t="shared" si="44"/>
        <v>OK</v>
      </c>
      <c r="M438" s="231" t="s">
        <v>1372</v>
      </c>
    </row>
    <row r="439" spans="1:13" s="124" customFormat="1" ht="13.5">
      <c r="A439" s="107" t="s">
        <v>759</v>
      </c>
      <c r="B439" s="113" t="s">
        <v>1230</v>
      </c>
      <c r="C439" s="113" t="s">
        <v>1231</v>
      </c>
      <c r="D439" s="107" t="s">
        <v>780</v>
      </c>
      <c r="F439" s="107" t="s">
        <v>759</v>
      </c>
      <c r="G439" s="107" t="str">
        <f t="shared" si="43"/>
        <v>森谷洋子</v>
      </c>
      <c r="H439" s="111" t="s">
        <v>637</v>
      </c>
      <c r="I439" s="114" t="s">
        <v>1409</v>
      </c>
      <c r="J439" s="169">
        <v>1951</v>
      </c>
      <c r="K439" s="119">
        <f t="shared" si="45"/>
        <v>65</v>
      </c>
      <c r="L439" s="109" t="str">
        <f t="shared" si="44"/>
        <v>OK</v>
      </c>
      <c r="M439" s="108" t="s">
        <v>812</v>
      </c>
    </row>
    <row r="440" spans="1:13" s="124" customFormat="1" ht="13.5">
      <c r="A440" s="107" t="s">
        <v>760</v>
      </c>
      <c r="B440" s="113" t="s">
        <v>685</v>
      </c>
      <c r="C440" s="113" t="s">
        <v>686</v>
      </c>
      <c r="D440" s="107" t="s">
        <v>780</v>
      </c>
      <c r="E440"/>
      <c r="F440" s="107" t="s">
        <v>760</v>
      </c>
      <c r="G440" s="107" t="str">
        <f t="shared" si="43"/>
        <v>川勝豊子</v>
      </c>
      <c r="H440" s="111" t="s">
        <v>637</v>
      </c>
      <c r="I440" s="114" t="s">
        <v>1409</v>
      </c>
      <c r="J440" s="169">
        <v>1946</v>
      </c>
      <c r="K440" s="119">
        <f t="shared" si="45"/>
        <v>70</v>
      </c>
      <c r="L440" s="109" t="str">
        <f t="shared" si="44"/>
        <v>OK</v>
      </c>
      <c r="M440" s="108" t="s">
        <v>1352</v>
      </c>
    </row>
    <row r="441" spans="1:13" ht="13.5">
      <c r="A441" s="107" t="s">
        <v>762</v>
      </c>
      <c r="B441" s="113" t="s">
        <v>767</v>
      </c>
      <c r="C441" s="113" t="s">
        <v>1346</v>
      </c>
      <c r="D441" s="107" t="s">
        <v>780</v>
      </c>
      <c r="E441" s="124"/>
      <c r="F441" s="107" t="s">
        <v>762</v>
      </c>
      <c r="G441" s="107" t="str">
        <f t="shared" si="43"/>
        <v>田邉俊子</v>
      </c>
      <c r="H441" s="111" t="s">
        <v>637</v>
      </c>
      <c r="I441" s="114" t="s">
        <v>1409</v>
      </c>
      <c r="J441" s="169">
        <v>1958</v>
      </c>
      <c r="K441" s="119">
        <f t="shared" si="45"/>
        <v>58</v>
      </c>
      <c r="L441" s="109" t="str">
        <f t="shared" si="44"/>
        <v>OK</v>
      </c>
      <c r="M441" s="108" t="s">
        <v>827</v>
      </c>
    </row>
    <row r="442" spans="1:13" s="124" customFormat="1" ht="13.5">
      <c r="A442" s="107" t="s">
        <v>764</v>
      </c>
      <c r="B442" s="113" t="s">
        <v>657</v>
      </c>
      <c r="C442" s="113" t="s">
        <v>1344</v>
      </c>
      <c r="D442" s="107" t="s">
        <v>244</v>
      </c>
      <c r="F442" s="107" t="s">
        <v>764</v>
      </c>
      <c r="G442" s="107" t="str">
        <f t="shared" si="43"/>
        <v>松田順子</v>
      </c>
      <c r="H442" s="111" t="s">
        <v>637</v>
      </c>
      <c r="I442" s="114" t="s">
        <v>1409</v>
      </c>
      <c r="J442" s="169">
        <v>1965</v>
      </c>
      <c r="K442" s="119">
        <f t="shared" si="45"/>
        <v>51</v>
      </c>
      <c r="L442" s="109" t="str">
        <f t="shared" si="44"/>
        <v>OK</v>
      </c>
      <c r="M442" s="231" t="s">
        <v>1372</v>
      </c>
    </row>
    <row r="443" spans="1:13" s="124" customFormat="1" ht="13.5">
      <c r="A443" s="107" t="s">
        <v>765</v>
      </c>
      <c r="B443" s="113" t="s">
        <v>683</v>
      </c>
      <c r="C443" s="113" t="s">
        <v>684</v>
      </c>
      <c r="D443" s="107" t="s">
        <v>780</v>
      </c>
      <c r="E443"/>
      <c r="F443" s="107" t="s">
        <v>765</v>
      </c>
      <c r="G443" s="107" t="str">
        <f t="shared" si="43"/>
        <v>本池清子</v>
      </c>
      <c r="H443" s="111" t="s">
        <v>637</v>
      </c>
      <c r="I443" s="114" t="s">
        <v>1409</v>
      </c>
      <c r="J443" s="169">
        <v>1967</v>
      </c>
      <c r="K443" s="119">
        <f t="shared" si="45"/>
        <v>49</v>
      </c>
      <c r="L443" s="109" t="str">
        <f t="shared" si="44"/>
        <v>OK</v>
      </c>
      <c r="M443" s="108" t="s">
        <v>797</v>
      </c>
    </row>
    <row r="444" spans="1:13" ht="13.5">
      <c r="A444" s="107" t="s">
        <v>766</v>
      </c>
      <c r="B444" s="113" t="s">
        <v>1243</v>
      </c>
      <c r="C444" s="113" t="s">
        <v>658</v>
      </c>
      <c r="D444" s="107" t="s">
        <v>731</v>
      </c>
      <c r="F444" s="107" t="s">
        <v>766</v>
      </c>
      <c r="G444" s="107" t="str">
        <f t="shared" si="43"/>
        <v>山田晶枝</v>
      </c>
      <c r="H444" s="111" t="s">
        <v>637</v>
      </c>
      <c r="I444" s="114" t="s">
        <v>1409</v>
      </c>
      <c r="J444" s="169">
        <v>1972</v>
      </c>
      <c r="K444" s="119">
        <f t="shared" si="45"/>
        <v>44</v>
      </c>
      <c r="L444" s="109" t="str">
        <f t="shared" si="44"/>
        <v>OK</v>
      </c>
      <c r="M444" s="108" t="s">
        <v>812</v>
      </c>
    </row>
    <row r="445" spans="1:13" ht="13.5">
      <c r="A445" s="248" t="s">
        <v>245</v>
      </c>
      <c r="B445" s="248" t="s">
        <v>756</v>
      </c>
      <c r="C445" s="248" t="s">
        <v>757</v>
      </c>
      <c r="D445" s="248" t="s">
        <v>780</v>
      </c>
      <c r="E445" s="249"/>
      <c r="F445" s="225" t="str">
        <f aca="true" t="shared" si="46" ref="F445:F450">A445</f>
        <v>P27</v>
      </c>
      <c r="G445" s="248" t="str">
        <f t="shared" si="43"/>
        <v>前田征人</v>
      </c>
      <c r="H445" s="250" t="s">
        <v>637</v>
      </c>
      <c r="I445" s="250" t="s">
        <v>821</v>
      </c>
      <c r="J445" s="251">
        <v>1944</v>
      </c>
      <c r="K445" s="119">
        <f t="shared" si="45"/>
        <v>72</v>
      </c>
      <c r="L445" s="109" t="str">
        <f t="shared" si="44"/>
        <v>OK</v>
      </c>
      <c r="M445" s="220" t="s">
        <v>827</v>
      </c>
    </row>
    <row r="446" spans="1:13" ht="13.5" customHeight="1">
      <c r="A446" s="248" t="s">
        <v>246</v>
      </c>
      <c r="B446" s="248" t="s">
        <v>495</v>
      </c>
      <c r="C446" s="248" t="s">
        <v>496</v>
      </c>
      <c r="D446" s="248" t="s">
        <v>780</v>
      </c>
      <c r="E446" s="248"/>
      <c r="F446" s="248" t="str">
        <f t="shared" si="46"/>
        <v>P28</v>
      </c>
      <c r="G446" s="248" t="str">
        <f t="shared" si="43"/>
        <v>鶴田 進</v>
      </c>
      <c r="H446" s="248" t="s">
        <v>637</v>
      </c>
      <c r="I446" s="248" t="s">
        <v>821</v>
      </c>
      <c r="J446" s="252">
        <v>1950</v>
      </c>
      <c r="K446" s="119">
        <f t="shared" si="45"/>
        <v>66</v>
      </c>
      <c r="L446" s="109" t="str">
        <f t="shared" si="44"/>
        <v>OK</v>
      </c>
      <c r="M446" s="248" t="s">
        <v>825</v>
      </c>
    </row>
    <row r="447" spans="1:13" ht="13.5" customHeight="1">
      <c r="A447" s="248" t="s">
        <v>497</v>
      </c>
      <c r="B447" s="231" t="s">
        <v>756</v>
      </c>
      <c r="C447" s="231" t="s">
        <v>1229</v>
      </c>
      <c r="D447" s="248" t="s">
        <v>780</v>
      </c>
      <c r="E447" s="248"/>
      <c r="F447" s="248" t="str">
        <f t="shared" si="46"/>
        <v>P29</v>
      </c>
      <c r="G447" s="248" t="str">
        <f t="shared" si="43"/>
        <v>前田喜久子</v>
      </c>
      <c r="H447" s="248" t="s">
        <v>637</v>
      </c>
      <c r="I447" s="231" t="s">
        <v>1409</v>
      </c>
      <c r="J447" s="252">
        <v>1945</v>
      </c>
      <c r="K447" s="119">
        <f t="shared" si="45"/>
        <v>71</v>
      </c>
      <c r="L447" s="109" t="str">
        <f t="shared" si="44"/>
        <v>OK</v>
      </c>
      <c r="M447" s="248" t="s">
        <v>827</v>
      </c>
    </row>
    <row r="448" spans="1:13" ht="13.5" customHeight="1">
      <c r="A448" s="248" t="s">
        <v>247</v>
      </c>
      <c r="B448" s="231" t="s">
        <v>1549</v>
      </c>
      <c r="C448" s="231" t="s">
        <v>1277</v>
      </c>
      <c r="D448" s="248" t="s">
        <v>780</v>
      </c>
      <c r="E448" s="248"/>
      <c r="F448" s="248" t="str">
        <f t="shared" si="46"/>
        <v>P30</v>
      </c>
      <c r="G448" s="248" t="str">
        <f t="shared" si="43"/>
        <v>岡本直美</v>
      </c>
      <c r="H448" s="248" t="s">
        <v>637</v>
      </c>
      <c r="I448" s="231" t="s">
        <v>1409</v>
      </c>
      <c r="J448" s="252">
        <v>1969</v>
      </c>
      <c r="K448" s="119">
        <f t="shared" si="45"/>
        <v>47</v>
      </c>
      <c r="L448" s="109" t="str">
        <f t="shared" si="44"/>
        <v>OK</v>
      </c>
      <c r="M448" s="248" t="s">
        <v>825</v>
      </c>
    </row>
    <row r="449" spans="1:13" ht="13.5" customHeight="1">
      <c r="A449" s="248" t="s">
        <v>498</v>
      </c>
      <c r="B449" s="231" t="s">
        <v>499</v>
      </c>
      <c r="C449" s="231" t="s">
        <v>500</v>
      </c>
      <c r="D449" s="248" t="s">
        <v>780</v>
      </c>
      <c r="E449" s="248"/>
      <c r="F449" s="248" t="str">
        <f t="shared" si="46"/>
        <v>P31</v>
      </c>
      <c r="G449" s="248" t="str">
        <f t="shared" si="43"/>
        <v>苗村裕子</v>
      </c>
      <c r="H449" s="248" t="s">
        <v>637</v>
      </c>
      <c r="I449" s="231" t="s">
        <v>1409</v>
      </c>
      <c r="J449" s="252">
        <v>1975</v>
      </c>
      <c r="K449" s="119">
        <f t="shared" si="45"/>
        <v>41</v>
      </c>
      <c r="L449" s="109" t="str">
        <f t="shared" si="44"/>
        <v>OK</v>
      </c>
      <c r="M449" s="248" t="s">
        <v>825</v>
      </c>
    </row>
    <row r="450" spans="1:13" ht="13.5" customHeight="1">
      <c r="A450" s="248" t="s">
        <v>501</v>
      </c>
      <c r="B450" s="248" t="s">
        <v>502</v>
      </c>
      <c r="C450" s="248" t="s">
        <v>503</v>
      </c>
      <c r="D450" s="248" t="s">
        <v>780</v>
      </c>
      <c r="E450" s="248"/>
      <c r="F450" s="248" t="str">
        <f t="shared" si="46"/>
        <v>P32</v>
      </c>
      <c r="G450" s="248" t="str">
        <f t="shared" si="43"/>
        <v>五十嵐英毅</v>
      </c>
      <c r="H450" s="248" t="s">
        <v>637</v>
      </c>
      <c r="I450" s="248" t="s">
        <v>821</v>
      </c>
      <c r="J450" s="252">
        <v>1958</v>
      </c>
      <c r="K450" s="119">
        <f t="shared" si="45"/>
        <v>58</v>
      </c>
      <c r="L450" s="109" t="str">
        <f t="shared" si="44"/>
        <v>OK</v>
      </c>
      <c r="M450" s="248" t="s">
        <v>828</v>
      </c>
    </row>
    <row r="451" spans="2:13" ht="13.5">
      <c r="B451" s="113"/>
      <c r="C451" s="113"/>
      <c r="F451" s="109"/>
      <c r="H451" s="111"/>
      <c r="I451" s="111"/>
      <c r="J451" s="169"/>
      <c r="K451" s="119"/>
      <c r="L451" s="109">
        <f t="shared" si="44"/>
      </c>
      <c r="M451" s="108"/>
    </row>
    <row r="452" spans="2:13" ht="13.5">
      <c r="B452" s="113"/>
      <c r="C452" s="113"/>
      <c r="F452" s="109"/>
      <c r="H452" s="111"/>
      <c r="I452" s="111"/>
      <c r="J452" s="169"/>
      <c r="K452" s="119"/>
      <c r="L452" s="109">
        <f t="shared" si="44"/>
      </c>
      <c r="M452" s="108"/>
    </row>
    <row r="453" spans="2:13" ht="13.5">
      <c r="B453" s="113"/>
      <c r="C453" s="113"/>
      <c r="F453" s="109"/>
      <c r="H453" s="111"/>
      <c r="I453" s="111"/>
      <c r="J453" s="169"/>
      <c r="K453" s="119"/>
      <c r="L453" s="109">
        <f t="shared" si="44"/>
      </c>
      <c r="M453" s="108"/>
    </row>
    <row r="454" spans="1:13" ht="13.5">
      <c r="A454" s="107"/>
      <c r="B454" s="113" t="s">
        <v>248</v>
      </c>
      <c r="C454" s="113" t="s">
        <v>249</v>
      </c>
      <c r="D454" s="107"/>
      <c r="F454" s="109"/>
      <c r="H454" s="111"/>
      <c r="I454" s="111"/>
      <c r="J454" s="169"/>
      <c r="K454" s="119"/>
      <c r="L454" s="109">
        <f t="shared" si="44"/>
      </c>
      <c r="M454" s="108"/>
    </row>
    <row r="455" spans="2:13" ht="13.5">
      <c r="B455" s="113"/>
      <c r="C455" s="113"/>
      <c r="F455" s="109"/>
      <c r="H455" s="111"/>
      <c r="I455" s="111"/>
      <c r="J455" s="169"/>
      <c r="K455" s="119"/>
      <c r="L455" s="109">
        <f t="shared" si="44"/>
      </c>
      <c r="M455" s="108"/>
    </row>
    <row r="456" spans="2:13" ht="13.5">
      <c r="B456" s="113"/>
      <c r="C456" s="113"/>
      <c r="F456" s="109"/>
      <c r="H456" s="111"/>
      <c r="I456" s="111"/>
      <c r="J456" s="169"/>
      <c r="K456" s="119"/>
      <c r="L456" s="109">
        <f t="shared" si="44"/>
      </c>
      <c r="M456" s="108"/>
    </row>
    <row r="457" spans="2:13" ht="13.5">
      <c r="B457" s="113"/>
      <c r="C457" s="113"/>
      <c r="F457" s="109"/>
      <c r="H457" s="111"/>
      <c r="I457" s="111"/>
      <c r="J457" s="169"/>
      <c r="K457" s="119"/>
      <c r="L457" s="109">
        <f t="shared" si="44"/>
      </c>
      <c r="M457" s="108"/>
    </row>
    <row r="458" spans="2:13" ht="13.5">
      <c r="B458" s="113"/>
      <c r="C458" s="113"/>
      <c r="F458" s="109"/>
      <c r="H458" s="111"/>
      <c r="I458" s="111"/>
      <c r="J458" s="169"/>
      <c r="K458" s="119"/>
      <c r="L458" s="109">
        <f t="shared" si="44"/>
      </c>
      <c r="M458" s="108"/>
    </row>
    <row r="459" spans="2:13" ht="13.5">
      <c r="B459" s="113"/>
      <c r="C459" s="113"/>
      <c r="F459" s="109"/>
      <c r="H459" s="111"/>
      <c r="I459" s="111"/>
      <c r="J459" s="169"/>
      <c r="K459" s="119"/>
      <c r="L459" s="109">
        <f t="shared" si="44"/>
      </c>
      <c r="M459" s="108"/>
    </row>
    <row r="460" spans="2:12" ht="13.5">
      <c r="B460" s="661" t="s">
        <v>504</v>
      </c>
      <c r="C460" s="661"/>
      <c r="D460" s="663" t="s">
        <v>505</v>
      </c>
      <c r="E460" s="663"/>
      <c r="F460" s="663"/>
      <c r="G460" s="663"/>
      <c r="H460" s="107" t="s">
        <v>784</v>
      </c>
      <c r="I460" s="658" t="s">
        <v>785</v>
      </c>
      <c r="J460" s="658"/>
      <c r="K460" s="658"/>
      <c r="L460" s="109">
        <f t="shared" si="44"/>
      </c>
    </row>
    <row r="461" spans="2:12" ht="13.5">
      <c r="B461" s="661"/>
      <c r="C461" s="661"/>
      <c r="D461" s="663"/>
      <c r="E461" s="663"/>
      <c r="F461" s="663"/>
      <c r="G461" s="663"/>
      <c r="H461" s="141">
        <f>COUNTIF(M464:M486,"東近江市")</f>
        <v>5</v>
      </c>
      <c r="I461" s="664">
        <f>(H461/RIGHT(A483,2))</f>
        <v>0.25</v>
      </c>
      <c r="J461" s="664"/>
      <c r="K461" s="664"/>
      <c r="L461" s="109">
        <f t="shared" si="44"/>
      </c>
    </row>
    <row r="462" spans="2:12" ht="13.5">
      <c r="B462" s="108" t="s">
        <v>768</v>
      </c>
      <c r="C462" s="108"/>
      <c r="D462" s="136" t="s">
        <v>1429</v>
      </c>
      <c r="F462" s="109">
        <f aca="true" t="shared" si="47" ref="F462:F477">A462</f>
        <v>0</v>
      </c>
      <c r="K462" s="119">
        <f>IF(J462="","",(2012-J462))</f>
      </c>
      <c r="L462" s="109">
        <f t="shared" si="44"/>
      </c>
    </row>
    <row r="463" spans="2:12" ht="13.5">
      <c r="B463" s="654" t="s">
        <v>769</v>
      </c>
      <c r="C463" s="654"/>
      <c r="D463" s="142" t="s">
        <v>1430</v>
      </c>
      <c r="F463" s="109">
        <f t="shared" si="47"/>
        <v>0</v>
      </c>
      <c r="G463" s="107" t="str">
        <f>B463&amp;C463</f>
        <v>サプライズ</v>
      </c>
      <c r="K463" s="119"/>
      <c r="L463" s="109"/>
    </row>
    <row r="464" spans="1:13" ht="13.5">
      <c r="A464" s="107" t="s">
        <v>506</v>
      </c>
      <c r="B464" s="171" t="s">
        <v>770</v>
      </c>
      <c r="C464" s="171" t="s">
        <v>865</v>
      </c>
      <c r="D464" s="107" t="str">
        <f>B462</f>
        <v>サプラ　</v>
      </c>
      <c r="F464" s="109" t="str">
        <f t="shared" si="47"/>
        <v>S01</v>
      </c>
      <c r="G464" s="107" t="str">
        <f>B464&amp;C464</f>
        <v>宇尾数行</v>
      </c>
      <c r="H464" s="111" t="s">
        <v>769</v>
      </c>
      <c r="I464" s="111" t="s">
        <v>1214</v>
      </c>
      <c r="J464" s="121">
        <v>1960</v>
      </c>
      <c r="K464" s="119">
        <f>IF(J464="","",(2016-J464))</f>
        <v>56</v>
      </c>
      <c r="L464" s="109" t="str">
        <f aca="true" t="shared" si="48" ref="L464:L491">IF(G464="","",IF(COUNTIF($G$24:$G$617,G464)&gt;1,"2重登録","OK"))</f>
        <v>OK</v>
      </c>
      <c r="M464" s="113" t="s">
        <v>1372</v>
      </c>
    </row>
    <row r="465" spans="1:13" ht="13.5">
      <c r="A465" s="107" t="s">
        <v>771</v>
      </c>
      <c r="B465" s="171" t="s">
        <v>867</v>
      </c>
      <c r="C465" s="172" t="s">
        <v>868</v>
      </c>
      <c r="D465" s="108" t="s">
        <v>768</v>
      </c>
      <c r="F465" s="107" t="str">
        <f t="shared" si="47"/>
        <v>S02</v>
      </c>
      <c r="G465" s="107" t="str">
        <f>B465&amp;C465</f>
        <v>小倉俊郎</v>
      </c>
      <c r="H465" s="111" t="s">
        <v>769</v>
      </c>
      <c r="I465" s="111" t="s">
        <v>1214</v>
      </c>
      <c r="J465" s="121">
        <v>1959</v>
      </c>
      <c r="K465" s="119">
        <f aca="true" t="shared" si="49" ref="K465:K482">IF(J465="","",(2016-J465))</f>
        <v>57</v>
      </c>
      <c r="L465" s="109" t="str">
        <f t="shared" si="48"/>
        <v>OK</v>
      </c>
      <c r="M465" s="113"/>
    </row>
    <row r="466" spans="1:13" ht="13.5">
      <c r="A466" s="107" t="s">
        <v>659</v>
      </c>
      <c r="B466" s="108" t="s">
        <v>639</v>
      </c>
      <c r="C466" s="108" t="s">
        <v>483</v>
      </c>
      <c r="D466" s="108" t="s">
        <v>768</v>
      </c>
      <c r="F466" s="109" t="str">
        <f t="shared" si="47"/>
        <v>S03</v>
      </c>
      <c r="G466" s="107" t="str">
        <f>B466&amp;C466</f>
        <v>梅田 </v>
      </c>
      <c r="H466" s="111" t="s">
        <v>769</v>
      </c>
      <c r="I466" s="111" t="s">
        <v>1214</v>
      </c>
      <c r="J466" s="121">
        <v>1966</v>
      </c>
      <c r="K466" s="119">
        <f t="shared" si="49"/>
        <v>50</v>
      </c>
      <c r="L466" s="109" t="str">
        <f t="shared" si="48"/>
        <v>OK</v>
      </c>
      <c r="M466" s="113"/>
    </row>
    <row r="467" spans="1:13" ht="13.5">
      <c r="A467" s="107" t="s">
        <v>660</v>
      </c>
      <c r="B467" s="171" t="s">
        <v>870</v>
      </c>
      <c r="C467" s="172" t="s">
        <v>871</v>
      </c>
      <c r="D467" s="108" t="s">
        <v>768</v>
      </c>
      <c r="F467" s="109" t="str">
        <f t="shared" si="47"/>
        <v>S04</v>
      </c>
      <c r="G467" s="107" t="str">
        <f aca="true" t="shared" si="50" ref="G467:G479">B467&amp;C467</f>
        <v>北野智尋</v>
      </c>
      <c r="H467" s="111" t="s">
        <v>769</v>
      </c>
      <c r="I467" s="111" t="s">
        <v>1214</v>
      </c>
      <c r="J467" s="118">
        <v>1970</v>
      </c>
      <c r="K467" s="119">
        <f t="shared" si="49"/>
        <v>46</v>
      </c>
      <c r="L467" s="109" t="str">
        <f t="shared" si="48"/>
        <v>OK</v>
      </c>
      <c r="M467" s="113"/>
    </row>
    <row r="468" spans="1:13" ht="13.5">
      <c r="A468" s="107" t="s">
        <v>661</v>
      </c>
      <c r="B468" s="171" t="s">
        <v>872</v>
      </c>
      <c r="C468" s="171" t="s">
        <v>873</v>
      </c>
      <c r="D468" s="108" t="s">
        <v>768</v>
      </c>
      <c r="F468" s="109" t="str">
        <f t="shared" si="47"/>
        <v>S05</v>
      </c>
      <c r="G468" s="107" t="str">
        <f t="shared" si="50"/>
        <v>木森厚志</v>
      </c>
      <c r="H468" s="111" t="s">
        <v>769</v>
      </c>
      <c r="I468" s="111" t="s">
        <v>1214</v>
      </c>
      <c r="J468" s="121">
        <v>1961</v>
      </c>
      <c r="K468" s="119">
        <f t="shared" si="49"/>
        <v>55</v>
      </c>
      <c r="L468" s="109" t="str">
        <f t="shared" si="48"/>
        <v>OK</v>
      </c>
      <c r="M468" s="113"/>
    </row>
    <row r="469" spans="1:13" ht="13.5">
      <c r="A469" s="107" t="s">
        <v>662</v>
      </c>
      <c r="B469" s="171" t="s">
        <v>875</v>
      </c>
      <c r="C469" s="172" t="s">
        <v>876</v>
      </c>
      <c r="D469" s="108" t="s">
        <v>768</v>
      </c>
      <c r="F469" s="109" t="str">
        <f t="shared" si="47"/>
        <v>S06</v>
      </c>
      <c r="G469" s="107" t="str">
        <f t="shared" si="50"/>
        <v>田中宏樹</v>
      </c>
      <c r="H469" s="111" t="s">
        <v>769</v>
      </c>
      <c r="I469" s="111" t="s">
        <v>1214</v>
      </c>
      <c r="J469" s="118">
        <v>1965</v>
      </c>
      <c r="K469" s="119">
        <f t="shared" si="49"/>
        <v>51</v>
      </c>
      <c r="L469" s="109" t="str">
        <f t="shared" si="48"/>
        <v>OK</v>
      </c>
      <c r="M469" s="113"/>
    </row>
    <row r="470" spans="1:13" ht="13.5">
      <c r="A470" s="107" t="s">
        <v>663</v>
      </c>
      <c r="B470" s="171" t="s">
        <v>877</v>
      </c>
      <c r="C470" s="172" t="s">
        <v>878</v>
      </c>
      <c r="D470" s="108" t="s">
        <v>768</v>
      </c>
      <c r="F470" s="109" t="str">
        <f t="shared" si="47"/>
        <v>S07</v>
      </c>
      <c r="G470" s="107" t="str">
        <f t="shared" si="50"/>
        <v>坪田敏裕</v>
      </c>
      <c r="H470" s="111" t="s">
        <v>769</v>
      </c>
      <c r="I470" s="111" t="s">
        <v>1214</v>
      </c>
      <c r="J470" s="121">
        <v>1965</v>
      </c>
      <c r="K470" s="119">
        <f t="shared" si="49"/>
        <v>51</v>
      </c>
      <c r="L470" s="109" t="str">
        <f t="shared" si="48"/>
        <v>OK</v>
      </c>
      <c r="M470" s="113"/>
    </row>
    <row r="471" spans="1:13" ht="13.5">
      <c r="A471" s="107" t="s">
        <v>664</v>
      </c>
      <c r="B471" s="171" t="s">
        <v>1314</v>
      </c>
      <c r="C471" s="172" t="s">
        <v>1308</v>
      </c>
      <c r="D471" s="108" t="s">
        <v>772</v>
      </c>
      <c r="F471" s="109" t="str">
        <f t="shared" si="47"/>
        <v>S08</v>
      </c>
      <c r="G471" s="107" t="str">
        <f t="shared" si="50"/>
        <v>坂口直也</v>
      </c>
      <c r="H471" s="111" t="s">
        <v>769</v>
      </c>
      <c r="I471" s="111" t="s">
        <v>1214</v>
      </c>
      <c r="J471" s="121">
        <v>1971</v>
      </c>
      <c r="K471" s="119">
        <f t="shared" si="49"/>
        <v>45</v>
      </c>
      <c r="L471" s="109" t="str">
        <f t="shared" si="48"/>
        <v>OK</v>
      </c>
      <c r="M471" s="113"/>
    </row>
    <row r="472" spans="1:13" ht="13.5">
      <c r="A472" s="107" t="s">
        <v>665</v>
      </c>
      <c r="B472" s="171" t="s">
        <v>880</v>
      </c>
      <c r="C472" s="172" t="s">
        <v>881</v>
      </c>
      <c r="D472" s="108" t="s">
        <v>768</v>
      </c>
      <c r="F472" s="109" t="str">
        <f t="shared" si="47"/>
        <v>S09</v>
      </c>
      <c r="G472" s="107" t="str">
        <f t="shared" si="50"/>
        <v>生岩寛史</v>
      </c>
      <c r="H472" s="111" t="s">
        <v>769</v>
      </c>
      <c r="I472" s="111" t="s">
        <v>1214</v>
      </c>
      <c r="J472" s="121">
        <v>1978</v>
      </c>
      <c r="K472" s="119">
        <f t="shared" si="49"/>
        <v>38</v>
      </c>
      <c r="L472" s="109" t="str">
        <f t="shared" si="48"/>
        <v>OK</v>
      </c>
      <c r="M472" s="113"/>
    </row>
    <row r="473" spans="1:13" ht="13.5">
      <c r="A473" s="107" t="s">
        <v>666</v>
      </c>
      <c r="B473" s="171" t="s">
        <v>773</v>
      </c>
      <c r="C473" s="172" t="s">
        <v>667</v>
      </c>
      <c r="D473" s="108" t="s">
        <v>768</v>
      </c>
      <c r="F473" s="109" t="str">
        <f t="shared" si="47"/>
        <v>S10</v>
      </c>
      <c r="G473" s="107" t="str">
        <f t="shared" si="50"/>
        <v>濱田 毅</v>
      </c>
      <c r="H473" s="111" t="s">
        <v>769</v>
      </c>
      <c r="I473" s="111" t="s">
        <v>1214</v>
      </c>
      <c r="J473" s="121">
        <v>1962</v>
      </c>
      <c r="K473" s="119">
        <f t="shared" si="49"/>
        <v>54</v>
      </c>
      <c r="L473" s="109" t="str">
        <f t="shared" si="48"/>
        <v>OK</v>
      </c>
      <c r="M473" s="113"/>
    </row>
    <row r="474" spans="1:13" ht="13.5">
      <c r="A474" s="107" t="s">
        <v>668</v>
      </c>
      <c r="B474" s="171" t="s">
        <v>882</v>
      </c>
      <c r="C474" s="172" t="s">
        <v>883</v>
      </c>
      <c r="D474" s="108" t="s">
        <v>768</v>
      </c>
      <c r="F474" s="109" t="str">
        <f t="shared" si="47"/>
        <v>S11</v>
      </c>
      <c r="G474" s="107" t="str">
        <f t="shared" si="50"/>
        <v>別宮敏朗</v>
      </c>
      <c r="H474" s="111" t="s">
        <v>769</v>
      </c>
      <c r="I474" s="111" t="s">
        <v>1214</v>
      </c>
      <c r="J474" s="121">
        <v>1947</v>
      </c>
      <c r="K474" s="119">
        <f t="shared" si="49"/>
        <v>69</v>
      </c>
      <c r="L474" s="109" t="str">
        <f t="shared" si="48"/>
        <v>OK</v>
      </c>
      <c r="M474" s="113"/>
    </row>
    <row r="475" spans="1:13" ht="13.5">
      <c r="A475" s="107" t="s">
        <v>669</v>
      </c>
      <c r="B475" s="171" t="s">
        <v>657</v>
      </c>
      <c r="C475" s="156" t="s">
        <v>953</v>
      </c>
      <c r="D475" s="108" t="s">
        <v>772</v>
      </c>
      <c r="F475" s="109" t="str">
        <f t="shared" si="47"/>
        <v>S12</v>
      </c>
      <c r="G475" s="107" t="str">
        <f>B475&amp;C475</f>
        <v>松田憲次</v>
      </c>
      <c r="H475" s="111" t="s">
        <v>769</v>
      </c>
      <c r="I475" s="111" t="s">
        <v>1214</v>
      </c>
      <c r="J475" s="121">
        <v>1964</v>
      </c>
      <c r="K475" s="119">
        <f t="shared" si="49"/>
        <v>52</v>
      </c>
      <c r="L475" s="109" t="str">
        <f t="shared" si="48"/>
        <v>OK</v>
      </c>
      <c r="M475" s="113" t="s">
        <v>1372</v>
      </c>
    </row>
    <row r="476" spans="1:13" ht="13.5">
      <c r="A476" s="107" t="s">
        <v>670</v>
      </c>
      <c r="B476" s="171" t="s">
        <v>770</v>
      </c>
      <c r="C476" s="171" t="s">
        <v>673</v>
      </c>
      <c r="D476" s="108" t="s">
        <v>768</v>
      </c>
      <c r="F476" s="109" t="str">
        <f t="shared" si="47"/>
        <v>S13</v>
      </c>
      <c r="G476" s="107" t="str">
        <f>B476&amp;C476</f>
        <v>宇尾 翼</v>
      </c>
      <c r="H476" s="111" t="s">
        <v>769</v>
      </c>
      <c r="I476" s="111" t="s">
        <v>1214</v>
      </c>
      <c r="J476" s="121">
        <v>1996</v>
      </c>
      <c r="K476" s="119">
        <f t="shared" si="49"/>
        <v>20</v>
      </c>
      <c r="L476" s="109" t="str">
        <f t="shared" si="48"/>
        <v>OK</v>
      </c>
      <c r="M476" s="113" t="s">
        <v>1372</v>
      </c>
    </row>
    <row r="477" spans="1:12" ht="13.5">
      <c r="A477" s="107" t="s">
        <v>671</v>
      </c>
      <c r="B477" s="253" t="s">
        <v>507</v>
      </c>
      <c r="C477" s="254" t="s">
        <v>508</v>
      </c>
      <c r="D477" s="108" t="s">
        <v>250</v>
      </c>
      <c r="F477" s="109" t="str">
        <f t="shared" si="47"/>
        <v>S14</v>
      </c>
      <c r="G477" s="107" t="str">
        <f>B477&amp;C477</f>
        <v>本田健一</v>
      </c>
      <c r="H477" s="111" t="s">
        <v>769</v>
      </c>
      <c r="I477" s="111" t="s">
        <v>791</v>
      </c>
      <c r="J477" s="255">
        <v>1973</v>
      </c>
      <c r="K477" s="119">
        <f t="shared" si="49"/>
        <v>43</v>
      </c>
      <c r="L477" s="109" t="str">
        <f t="shared" si="48"/>
        <v>OK</v>
      </c>
    </row>
    <row r="478" spans="1:13" ht="13.5">
      <c r="A478" s="107" t="s">
        <v>672</v>
      </c>
      <c r="B478" s="146" t="s">
        <v>885</v>
      </c>
      <c r="C478" s="147" t="s">
        <v>886</v>
      </c>
      <c r="D478" s="108" t="s">
        <v>768</v>
      </c>
      <c r="F478" s="109" t="str">
        <f aca="true" t="shared" si="51" ref="F478:F483">A479</f>
        <v>S16</v>
      </c>
      <c r="G478" s="107" t="str">
        <f t="shared" si="50"/>
        <v>梅田陽子</v>
      </c>
      <c r="H478" s="111" t="s">
        <v>769</v>
      </c>
      <c r="I478" s="114" t="s">
        <v>1409</v>
      </c>
      <c r="J478" s="121">
        <v>1967</v>
      </c>
      <c r="K478" s="119">
        <f t="shared" si="49"/>
        <v>49</v>
      </c>
      <c r="L478" s="109" t="str">
        <f t="shared" si="48"/>
        <v>OK</v>
      </c>
      <c r="M478" s="113"/>
    </row>
    <row r="479" spans="1:13" ht="13.5">
      <c r="A479" s="107" t="s">
        <v>674</v>
      </c>
      <c r="B479" s="146" t="s">
        <v>887</v>
      </c>
      <c r="C479" s="147" t="s">
        <v>888</v>
      </c>
      <c r="D479" s="108" t="s">
        <v>768</v>
      </c>
      <c r="F479" s="109" t="str">
        <f t="shared" si="51"/>
        <v>S17</v>
      </c>
      <c r="G479" s="107" t="str">
        <f t="shared" si="50"/>
        <v>鈴木春美</v>
      </c>
      <c r="H479" s="111" t="s">
        <v>769</v>
      </c>
      <c r="I479" s="114" t="s">
        <v>1409</v>
      </c>
      <c r="J479" s="121">
        <v>1965</v>
      </c>
      <c r="K479" s="119">
        <f t="shared" si="49"/>
        <v>51</v>
      </c>
      <c r="L479" s="109" t="str">
        <f t="shared" si="48"/>
        <v>OK</v>
      </c>
      <c r="M479" s="113" t="s">
        <v>1372</v>
      </c>
    </row>
    <row r="480" spans="1:13" ht="13.5">
      <c r="A480" s="107" t="s">
        <v>675</v>
      </c>
      <c r="B480" s="146" t="s">
        <v>1323</v>
      </c>
      <c r="C480" s="147" t="s">
        <v>1324</v>
      </c>
      <c r="D480" s="108" t="s">
        <v>772</v>
      </c>
      <c r="F480" s="109" t="str">
        <f t="shared" si="51"/>
        <v>S18</v>
      </c>
      <c r="G480" s="107" t="str">
        <f>B480&amp;C480</f>
        <v>川端文子</v>
      </c>
      <c r="H480" s="111" t="s">
        <v>769</v>
      </c>
      <c r="I480" s="114" t="s">
        <v>1409</v>
      </c>
      <c r="J480" s="136">
        <v>1967</v>
      </c>
      <c r="K480" s="119">
        <f t="shared" si="49"/>
        <v>49</v>
      </c>
      <c r="L480" s="109" t="str">
        <f t="shared" si="48"/>
        <v>OK</v>
      </c>
      <c r="M480" s="113" t="s">
        <v>1372</v>
      </c>
    </row>
    <row r="481" spans="1:13" ht="13.5">
      <c r="A481" s="107" t="s">
        <v>676</v>
      </c>
      <c r="B481" s="146" t="s">
        <v>633</v>
      </c>
      <c r="C481" s="232" t="s">
        <v>251</v>
      </c>
      <c r="D481" s="108" t="s">
        <v>252</v>
      </c>
      <c r="F481" s="109" t="str">
        <f t="shared" si="51"/>
        <v>S19</v>
      </c>
      <c r="G481" s="107" t="str">
        <f>B481&amp;C481</f>
        <v>更家真佐子</v>
      </c>
      <c r="H481" s="111" t="s">
        <v>769</v>
      </c>
      <c r="I481" s="114" t="s">
        <v>1409</v>
      </c>
      <c r="J481" s="136">
        <v>1951</v>
      </c>
      <c r="K481" s="119">
        <f t="shared" si="49"/>
        <v>65</v>
      </c>
      <c r="L481" s="109" t="str">
        <f t="shared" si="48"/>
        <v>OK</v>
      </c>
      <c r="M481" s="113"/>
    </row>
    <row r="482" spans="1:13" ht="13.5">
      <c r="A482" s="107" t="s">
        <v>632</v>
      </c>
      <c r="B482" s="146" t="s">
        <v>1248</v>
      </c>
      <c r="C482" s="147" t="s">
        <v>635</v>
      </c>
      <c r="D482" s="108" t="s">
        <v>636</v>
      </c>
      <c r="F482" s="109" t="str">
        <f t="shared" si="51"/>
        <v>S20</v>
      </c>
      <c r="G482" s="107" t="str">
        <f>B482&amp;C482</f>
        <v>田中由紀</v>
      </c>
      <c r="H482" s="111" t="s">
        <v>769</v>
      </c>
      <c r="I482" s="114" t="s">
        <v>1409</v>
      </c>
      <c r="J482" s="136">
        <v>1968</v>
      </c>
      <c r="K482" s="119">
        <f t="shared" si="49"/>
        <v>48</v>
      </c>
      <c r="L482" s="109" t="str">
        <f t="shared" si="48"/>
        <v>OK</v>
      </c>
      <c r="M482" s="113"/>
    </row>
    <row r="483" spans="1:13" ht="13.5">
      <c r="A483" s="107" t="s">
        <v>634</v>
      </c>
      <c r="B483" s="253" t="s">
        <v>253</v>
      </c>
      <c r="C483" t="s">
        <v>254</v>
      </c>
      <c r="D483" s="108" t="s">
        <v>255</v>
      </c>
      <c r="F483" s="109" t="str">
        <f t="shared" si="51"/>
        <v>S21</v>
      </c>
      <c r="G483" s="107" t="str">
        <f>B483&amp;C483</f>
        <v>那須且良</v>
      </c>
      <c r="H483" s="111" t="s">
        <v>769</v>
      </c>
      <c r="I483" s="111" t="s">
        <v>1214</v>
      </c>
      <c r="L483" s="109" t="str">
        <f t="shared" si="48"/>
        <v>OK</v>
      </c>
      <c r="M483" t="s">
        <v>826</v>
      </c>
    </row>
    <row r="484" spans="1:13" ht="13.5">
      <c r="A484" s="107" t="s">
        <v>256</v>
      </c>
      <c r="B484" s="253" t="s">
        <v>257</v>
      </c>
      <c r="C484" s="254" t="s">
        <v>258</v>
      </c>
      <c r="D484" s="108" t="s">
        <v>259</v>
      </c>
      <c r="F484" s="109" t="str">
        <f>A484</f>
        <v>S21</v>
      </c>
      <c r="G484" s="107" t="str">
        <f>B484&amp;C484</f>
        <v>高橋昌平</v>
      </c>
      <c r="H484" s="111" t="s">
        <v>769</v>
      </c>
      <c r="I484" s="111" t="s">
        <v>1214</v>
      </c>
      <c r="L484" s="109" t="str">
        <f t="shared" si="48"/>
        <v>OK</v>
      </c>
      <c r="M484" s="220" t="s">
        <v>260</v>
      </c>
    </row>
    <row r="485" spans="2:13" ht="13.5">
      <c r="B485" s="187"/>
      <c r="C485" s="187"/>
      <c r="D485" s="108"/>
      <c r="E485" s="110"/>
      <c r="H485" s="111"/>
      <c r="I485" s="110"/>
      <c r="J485" s="120"/>
      <c r="K485" s="230"/>
      <c r="L485" s="109">
        <f t="shared" si="48"/>
      </c>
      <c r="M485" s="107"/>
    </row>
    <row r="486" spans="2:12" ht="13.5">
      <c r="B486" s="187"/>
      <c r="C486" s="187"/>
      <c r="D486" s="108"/>
      <c r="E486" s="110"/>
      <c r="H486" s="111"/>
      <c r="I486" s="110"/>
      <c r="J486" s="120"/>
      <c r="K486" s="230"/>
      <c r="L486" s="109">
        <f t="shared" si="48"/>
      </c>
    </row>
    <row r="487" spans="2:12" ht="13.5">
      <c r="B487" s="187"/>
      <c r="C487" s="187"/>
      <c r="D487" s="108"/>
      <c r="E487" s="110"/>
      <c r="H487" s="111"/>
      <c r="I487" s="110"/>
      <c r="J487" s="120"/>
      <c r="K487" s="230"/>
      <c r="L487" s="109">
        <f t="shared" si="48"/>
      </c>
    </row>
    <row r="488" spans="2:12" ht="13.5">
      <c r="B488" s="187"/>
      <c r="C488" s="187"/>
      <c r="D488" s="108"/>
      <c r="E488" s="110"/>
      <c r="H488" s="111"/>
      <c r="I488" s="110"/>
      <c r="J488" s="120"/>
      <c r="K488" s="230"/>
      <c r="L488" s="109">
        <f t="shared" si="48"/>
      </c>
    </row>
    <row r="489" spans="2:12" ht="13.5">
      <c r="B489" s="187"/>
      <c r="C489" s="187"/>
      <c r="D489" s="108"/>
      <c r="E489" s="110"/>
      <c r="H489" s="111"/>
      <c r="I489" s="110"/>
      <c r="J489" s="120"/>
      <c r="K489" s="230"/>
      <c r="L489" s="109">
        <f t="shared" si="48"/>
      </c>
    </row>
    <row r="490" spans="2:12" ht="13.5">
      <c r="B490" s="661" t="s">
        <v>509</v>
      </c>
      <c r="C490" s="661"/>
      <c r="D490" s="671" t="s">
        <v>510</v>
      </c>
      <c r="E490" s="671"/>
      <c r="F490" s="671"/>
      <c r="G490" s="671"/>
      <c r="L490" s="109">
        <f t="shared" si="48"/>
      </c>
    </row>
    <row r="491" spans="2:12" ht="13.5">
      <c r="B491" s="661"/>
      <c r="C491" s="661"/>
      <c r="D491" s="671"/>
      <c r="E491" s="671"/>
      <c r="F491" s="671"/>
      <c r="G491" s="671"/>
      <c r="L491" s="109">
        <f t="shared" si="48"/>
      </c>
    </row>
    <row r="492" spans="2:12" ht="13.5">
      <c r="B492" s="108"/>
      <c r="C492" s="108"/>
      <c r="D492" s="108"/>
      <c r="F492" s="109"/>
      <c r="G492" s="107" t="s">
        <v>1370</v>
      </c>
      <c r="H492" s="658" t="s">
        <v>1371</v>
      </c>
      <c r="I492" s="658"/>
      <c r="J492" s="658"/>
      <c r="K492" s="109"/>
      <c r="L492" s="109"/>
    </row>
    <row r="493" spans="2:12" ht="13.5">
      <c r="B493" s="654" t="s">
        <v>511</v>
      </c>
      <c r="C493" s="654"/>
      <c r="D493" s="136" t="s">
        <v>1429</v>
      </c>
      <c r="F493" s="109"/>
      <c r="G493" s="141">
        <f>COUNTIF(M496:M509,"東近江市")</f>
        <v>0</v>
      </c>
      <c r="H493" s="664">
        <f>(G493/RIGHT(A506,2))</f>
        <v>0</v>
      </c>
      <c r="I493" s="664"/>
      <c r="J493" s="664"/>
      <c r="K493" s="109"/>
      <c r="L493" s="109" t="str">
        <f aca="true" t="shared" si="52" ref="L493:L514">IF(G493="","",IF(COUNTIF($G$24:$G$617,G493)&gt;1,"2重登録","OK"))</f>
        <v>2重登録</v>
      </c>
    </row>
    <row r="494" spans="2:12" ht="13.5">
      <c r="B494" s="193" t="s">
        <v>261</v>
      </c>
      <c r="C494" s="193"/>
      <c r="D494" s="142" t="s">
        <v>1430</v>
      </c>
      <c r="E494" s="136"/>
      <c r="F494" s="136"/>
      <c r="G494" s="141"/>
      <c r="H494" s="142" t="s">
        <v>1430</v>
      </c>
      <c r="I494" s="192"/>
      <c r="J494" s="192"/>
      <c r="K494" s="109"/>
      <c r="L494" s="109">
        <f t="shared" si="52"/>
      </c>
    </row>
    <row r="495" spans="1:13" ht="13.5" customHeight="1">
      <c r="A495" s="107" t="s">
        <v>443</v>
      </c>
      <c r="B495" s="108" t="s">
        <v>512</v>
      </c>
      <c r="C495" s="108" t="s">
        <v>513</v>
      </c>
      <c r="D495" s="107" t="s">
        <v>262</v>
      </c>
      <c r="F495" s="154" t="str">
        <f aca="true" t="shared" si="53" ref="F495:F514">A495</f>
        <v>T01</v>
      </c>
      <c r="G495" s="107" t="str">
        <f aca="true" t="shared" si="54" ref="G495:G509">B495&amp;C495</f>
        <v>野村良平</v>
      </c>
      <c r="H495" s="111" t="s">
        <v>511</v>
      </c>
      <c r="I495" s="111" t="s">
        <v>1214</v>
      </c>
      <c r="J495" s="121">
        <v>1989</v>
      </c>
      <c r="K495" s="119">
        <f>IF(J495="","",(2016-J495))</f>
        <v>27</v>
      </c>
      <c r="L495" s="109" t="str">
        <f t="shared" si="52"/>
        <v>OK</v>
      </c>
      <c r="M495" s="107" t="s">
        <v>1419</v>
      </c>
    </row>
    <row r="496" spans="1:13" ht="13.5" customHeight="1">
      <c r="A496" s="107" t="s">
        <v>514</v>
      </c>
      <c r="B496" s="110" t="s">
        <v>515</v>
      </c>
      <c r="C496" s="110" t="s">
        <v>516</v>
      </c>
      <c r="D496" s="107" t="s">
        <v>263</v>
      </c>
      <c r="F496" s="154" t="str">
        <f t="shared" si="53"/>
        <v>T02</v>
      </c>
      <c r="G496" s="107" t="str">
        <f t="shared" si="54"/>
        <v>鹿野雄大</v>
      </c>
      <c r="H496" s="111" t="s">
        <v>511</v>
      </c>
      <c r="I496" s="111" t="s">
        <v>1214</v>
      </c>
      <c r="J496" s="121">
        <v>1991</v>
      </c>
      <c r="K496" s="119">
        <f aca="true" t="shared" si="55" ref="K496:K509">IF(J496="","",(2016-J496))</f>
        <v>25</v>
      </c>
      <c r="L496" s="109" t="str">
        <f t="shared" si="52"/>
        <v>OK</v>
      </c>
      <c r="M496" s="107" t="s">
        <v>827</v>
      </c>
    </row>
    <row r="497" spans="1:13" ht="13.5">
      <c r="A497" s="107" t="s">
        <v>517</v>
      </c>
      <c r="B497" s="108" t="s">
        <v>1217</v>
      </c>
      <c r="C497" s="108" t="s">
        <v>518</v>
      </c>
      <c r="D497" s="107" t="s">
        <v>264</v>
      </c>
      <c r="F497" s="154" t="str">
        <f t="shared" si="53"/>
        <v>T03</v>
      </c>
      <c r="G497" s="107" t="str">
        <f t="shared" si="54"/>
        <v>谷口 猛</v>
      </c>
      <c r="H497" s="111" t="s">
        <v>511</v>
      </c>
      <c r="I497" s="111" t="s">
        <v>1214</v>
      </c>
      <c r="J497" s="121">
        <v>1992</v>
      </c>
      <c r="K497" s="119">
        <f t="shared" si="55"/>
        <v>24</v>
      </c>
      <c r="L497" s="109" t="str">
        <f t="shared" si="52"/>
        <v>OK</v>
      </c>
      <c r="M497" s="107" t="s">
        <v>1319</v>
      </c>
    </row>
    <row r="498" spans="1:13" ht="13.5">
      <c r="A498" s="107" t="s">
        <v>519</v>
      </c>
      <c r="B498" s="108" t="s">
        <v>520</v>
      </c>
      <c r="C498" s="108" t="s">
        <v>521</v>
      </c>
      <c r="D498" s="107" t="s">
        <v>265</v>
      </c>
      <c r="F498" s="154" t="str">
        <f t="shared" si="53"/>
        <v>T04</v>
      </c>
      <c r="G498" s="107" t="str">
        <f t="shared" si="54"/>
        <v>上津慶和</v>
      </c>
      <c r="H498" s="111" t="s">
        <v>511</v>
      </c>
      <c r="I498" s="111" t="s">
        <v>1214</v>
      </c>
      <c r="J498" s="121">
        <v>1993</v>
      </c>
      <c r="K498" s="119">
        <f t="shared" si="55"/>
        <v>23</v>
      </c>
      <c r="L498" s="109" t="str">
        <f t="shared" si="52"/>
        <v>OK</v>
      </c>
      <c r="M498" s="107" t="s">
        <v>1319</v>
      </c>
    </row>
    <row r="499" spans="1:13" ht="13.5">
      <c r="A499" s="107" t="s">
        <v>522</v>
      </c>
      <c r="B499" s="108" t="s">
        <v>523</v>
      </c>
      <c r="C499" s="108" t="s">
        <v>524</v>
      </c>
      <c r="D499" s="107" t="s">
        <v>266</v>
      </c>
      <c r="F499" s="154" t="str">
        <f t="shared" si="53"/>
        <v>T05</v>
      </c>
      <c r="G499" s="107" t="str">
        <f t="shared" si="54"/>
        <v>松本遼太郎</v>
      </c>
      <c r="H499" s="111" t="s">
        <v>511</v>
      </c>
      <c r="I499" s="111" t="s">
        <v>1214</v>
      </c>
      <c r="J499" s="121">
        <v>1991</v>
      </c>
      <c r="K499" s="119">
        <f t="shared" si="55"/>
        <v>25</v>
      </c>
      <c r="L499" s="109" t="str">
        <f t="shared" si="52"/>
        <v>OK</v>
      </c>
      <c r="M499" s="107" t="s">
        <v>827</v>
      </c>
    </row>
    <row r="500" spans="1:13" ht="13.5">
      <c r="A500" s="107" t="s">
        <v>525</v>
      </c>
      <c r="B500" s="231" t="s">
        <v>526</v>
      </c>
      <c r="C500" s="231" t="s">
        <v>527</v>
      </c>
      <c r="D500" s="107" t="s">
        <v>267</v>
      </c>
      <c r="F500" s="154" t="str">
        <f t="shared" si="53"/>
        <v>T06</v>
      </c>
      <c r="G500" s="220" t="str">
        <f t="shared" si="54"/>
        <v>吉居さつ紀</v>
      </c>
      <c r="H500" s="111" t="s">
        <v>511</v>
      </c>
      <c r="I500" s="256" t="s">
        <v>1409</v>
      </c>
      <c r="J500" s="121">
        <v>1991</v>
      </c>
      <c r="K500" s="119">
        <f t="shared" si="55"/>
        <v>25</v>
      </c>
      <c r="L500" s="109" t="str">
        <f t="shared" si="52"/>
        <v>OK</v>
      </c>
      <c r="M500" s="107" t="s">
        <v>1319</v>
      </c>
    </row>
    <row r="501" spans="1:13" ht="13.5">
      <c r="A501" s="107" t="s">
        <v>528</v>
      </c>
      <c r="B501" s="231" t="s">
        <v>529</v>
      </c>
      <c r="C501" s="231" t="s">
        <v>530</v>
      </c>
      <c r="D501" s="107" t="s">
        <v>511</v>
      </c>
      <c r="F501" s="154" t="str">
        <f t="shared" si="53"/>
        <v>T07</v>
      </c>
      <c r="G501" s="220" t="str">
        <f t="shared" si="54"/>
        <v>北川　円香</v>
      </c>
      <c r="H501" s="111" t="s">
        <v>511</v>
      </c>
      <c r="I501" s="256" t="s">
        <v>1409</v>
      </c>
      <c r="J501" s="121">
        <v>1991</v>
      </c>
      <c r="K501" s="119">
        <f t="shared" si="55"/>
        <v>25</v>
      </c>
      <c r="L501" s="109" t="str">
        <f t="shared" si="52"/>
        <v>OK</v>
      </c>
      <c r="M501" s="107" t="s">
        <v>1319</v>
      </c>
    </row>
    <row r="502" spans="1:13" ht="13.5">
      <c r="A502" s="107" t="s">
        <v>531</v>
      </c>
      <c r="B502" s="231" t="s">
        <v>532</v>
      </c>
      <c r="C502" s="231" t="s">
        <v>533</v>
      </c>
      <c r="D502" s="107" t="s">
        <v>534</v>
      </c>
      <c r="F502" s="154" t="str">
        <f t="shared" si="53"/>
        <v>T08</v>
      </c>
      <c r="G502" s="220" t="str">
        <f t="shared" si="54"/>
        <v>池田まき</v>
      </c>
      <c r="H502" s="111" t="s">
        <v>511</v>
      </c>
      <c r="I502" s="256" t="s">
        <v>1409</v>
      </c>
      <c r="J502" s="121">
        <v>1991</v>
      </c>
      <c r="K502" s="119">
        <f t="shared" si="55"/>
        <v>25</v>
      </c>
      <c r="L502" s="109" t="str">
        <f t="shared" si="52"/>
        <v>OK</v>
      </c>
      <c r="M502" s="107" t="s">
        <v>1319</v>
      </c>
    </row>
    <row r="503" spans="1:13" ht="13.5">
      <c r="A503" s="107" t="s">
        <v>535</v>
      </c>
      <c r="B503" s="231" t="s">
        <v>536</v>
      </c>
      <c r="C503" s="231" t="s">
        <v>537</v>
      </c>
      <c r="D503" s="107" t="s">
        <v>538</v>
      </c>
      <c r="F503" s="154" t="str">
        <f t="shared" si="53"/>
        <v>T09</v>
      </c>
      <c r="G503" s="220" t="str">
        <f t="shared" si="54"/>
        <v>前川美恵</v>
      </c>
      <c r="H503" s="111" t="s">
        <v>511</v>
      </c>
      <c r="I503" s="256" t="s">
        <v>1409</v>
      </c>
      <c r="J503" s="121">
        <v>1988</v>
      </c>
      <c r="K503" s="119">
        <f t="shared" si="55"/>
        <v>28</v>
      </c>
      <c r="L503" s="109" t="str">
        <f t="shared" si="52"/>
        <v>OK</v>
      </c>
      <c r="M503" s="107" t="s">
        <v>1320</v>
      </c>
    </row>
    <row r="504" spans="1:13" ht="13.5">
      <c r="A504" s="107" t="s">
        <v>539</v>
      </c>
      <c r="B504" s="231" t="s">
        <v>540</v>
      </c>
      <c r="C504" s="231" t="s">
        <v>541</v>
      </c>
      <c r="D504" s="107" t="s">
        <v>534</v>
      </c>
      <c r="F504" s="154" t="str">
        <f t="shared" si="53"/>
        <v>T10</v>
      </c>
      <c r="G504" s="220" t="str">
        <f t="shared" si="54"/>
        <v>草野菜摘</v>
      </c>
      <c r="H504" s="111" t="s">
        <v>511</v>
      </c>
      <c r="I504" s="256" t="s">
        <v>1409</v>
      </c>
      <c r="J504" s="121">
        <v>1993</v>
      </c>
      <c r="K504" s="119">
        <f t="shared" si="55"/>
        <v>23</v>
      </c>
      <c r="L504" s="109" t="str">
        <f t="shared" si="52"/>
        <v>OK</v>
      </c>
      <c r="M504" s="107" t="s">
        <v>1320</v>
      </c>
    </row>
    <row r="505" spans="1:13" ht="13.5">
      <c r="A505" s="107" t="s">
        <v>542</v>
      </c>
      <c r="B505" s="108" t="s">
        <v>543</v>
      </c>
      <c r="C505" s="108" t="s">
        <v>544</v>
      </c>
      <c r="D505" s="107" t="s">
        <v>534</v>
      </c>
      <c r="F505" s="154" t="str">
        <f t="shared" si="53"/>
        <v>T11</v>
      </c>
      <c r="G505" s="107" t="str">
        <f t="shared" si="54"/>
        <v>高橋和也</v>
      </c>
      <c r="H505" s="111" t="s">
        <v>511</v>
      </c>
      <c r="I505" s="111" t="s">
        <v>821</v>
      </c>
      <c r="J505" s="121">
        <v>1994</v>
      </c>
      <c r="K505" s="119">
        <f t="shared" si="55"/>
        <v>22</v>
      </c>
      <c r="L505" s="109" t="str">
        <f t="shared" si="52"/>
        <v>OK</v>
      </c>
      <c r="M505" s="107" t="s">
        <v>1319</v>
      </c>
    </row>
    <row r="506" spans="1:13" ht="13.5">
      <c r="A506" s="107" t="s">
        <v>545</v>
      </c>
      <c r="B506" s="108" t="s">
        <v>546</v>
      </c>
      <c r="C506" s="108" t="s">
        <v>471</v>
      </c>
      <c r="D506" s="107" t="s">
        <v>268</v>
      </c>
      <c r="F506" s="154" t="str">
        <f t="shared" si="53"/>
        <v>T12</v>
      </c>
      <c r="G506" s="107" t="str">
        <f t="shared" si="54"/>
        <v>川下洋平</v>
      </c>
      <c r="H506" s="111" t="s">
        <v>511</v>
      </c>
      <c r="I506" s="111" t="s">
        <v>821</v>
      </c>
      <c r="J506" s="121">
        <v>1988</v>
      </c>
      <c r="K506" s="119">
        <f t="shared" si="55"/>
        <v>28</v>
      </c>
      <c r="L506" s="109" t="str">
        <f t="shared" si="52"/>
        <v>OK</v>
      </c>
      <c r="M506" s="107" t="s">
        <v>827</v>
      </c>
    </row>
    <row r="507" spans="1:13" ht="13.5">
      <c r="A507" s="107" t="s">
        <v>269</v>
      </c>
      <c r="B507" s="108" t="s">
        <v>547</v>
      </c>
      <c r="C507" s="108" t="s">
        <v>548</v>
      </c>
      <c r="D507" s="107" t="s">
        <v>270</v>
      </c>
      <c r="F507" s="154" t="str">
        <f t="shared" si="53"/>
        <v>T13</v>
      </c>
      <c r="G507" s="107" t="str">
        <f t="shared" si="54"/>
        <v>上原義弘</v>
      </c>
      <c r="H507" s="111" t="s">
        <v>511</v>
      </c>
      <c r="I507" s="111" t="s">
        <v>791</v>
      </c>
      <c r="J507" s="121">
        <v>1974</v>
      </c>
      <c r="K507" s="119">
        <f t="shared" si="55"/>
        <v>42</v>
      </c>
      <c r="L507" s="109" t="str">
        <f t="shared" si="52"/>
        <v>OK</v>
      </c>
      <c r="M507" s="107" t="s">
        <v>827</v>
      </c>
    </row>
    <row r="508" spans="1:13" ht="13.5">
      <c r="A508" s="107" t="s">
        <v>271</v>
      </c>
      <c r="B508" s="108" t="s">
        <v>549</v>
      </c>
      <c r="C508" s="108" t="s">
        <v>550</v>
      </c>
      <c r="D508" s="107" t="s">
        <v>272</v>
      </c>
      <c r="F508" s="154" t="str">
        <f t="shared" si="53"/>
        <v>T14</v>
      </c>
      <c r="G508" s="107" t="str">
        <f t="shared" si="54"/>
        <v>東山 博</v>
      </c>
      <c r="H508" s="111" t="s">
        <v>511</v>
      </c>
      <c r="I508" s="111" t="s">
        <v>791</v>
      </c>
      <c r="J508" s="121">
        <v>1964</v>
      </c>
      <c r="K508" s="119">
        <f t="shared" si="55"/>
        <v>52</v>
      </c>
      <c r="L508" s="109" t="str">
        <f t="shared" si="52"/>
        <v>OK</v>
      </c>
      <c r="M508" s="107" t="s">
        <v>827</v>
      </c>
    </row>
    <row r="509" spans="1:13" ht="13.5">
      <c r="A509" s="107" t="s">
        <v>273</v>
      </c>
      <c r="B509" s="107" t="s">
        <v>551</v>
      </c>
      <c r="C509" s="107" t="s">
        <v>552</v>
      </c>
      <c r="D509" s="107" t="s">
        <v>534</v>
      </c>
      <c r="F509" s="154" t="str">
        <f t="shared" si="53"/>
        <v>T15</v>
      </c>
      <c r="G509" s="107" t="str">
        <f t="shared" si="54"/>
        <v>中尾 巧</v>
      </c>
      <c r="H509" s="111" t="s">
        <v>511</v>
      </c>
      <c r="I509" s="194" t="s">
        <v>791</v>
      </c>
      <c r="J509" s="121">
        <v>1983</v>
      </c>
      <c r="K509" s="119">
        <f t="shared" si="55"/>
        <v>33</v>
      </c>
      <c r="L509" s="109" t="str">
        <f t="shared" si="52"/>
        <v>OK</v>
      </c>
      <c r="M509" s="107" t="s">
        <v>553</v>
      </c>
    </row>
    <row r="510" spans="1:13" ht="13.5">
      <c r="A510" s="107" t="s">
        <v>274</v>
      </c>
      <c r="B510" s="113" t="s">
        <v>275</v>
      </c>
      <c r="C510" s="113" t="s">
        <v>1280</v>
      </c>
      <c r="D510" s="107" t="s">
        <v>534</v>
      </c>
      <c r="F510" s="154" t="str">
        <f t="shared" si="53"/>
        <v>T16</v>
      </c>
      <c r="G510" s="113" t="s">
        <v>276</v>
      </c>
      <c r="H510" s="111" t="s">
        <v>277</v>
      </c>
      <c r="I510" s="114" t="s">
        <v>1409</v>
      </c>
      <c r="J510" s="121">
        <v>1972</v>
      </c>
      <c r="K510" s="119">
        <v>43</v>
      </c>
      <c r="L510" s="109" t="str">
        <f t="shared" si="52"/>
        <v>OK</v>
      </c>
      <c r="M510" s="107" t="s">
        <v>1320</v>
      </c>
    </row>
    <row r="511" spans="1:13" ht="13.5">
      <c r="A511" s="107" t="s">
        <v>278</v>
      </c>
      <c r="B511" s="113" t="s">
        <v>279</v>
      </c>
      <c r="C511" s="113" t="s">
        <v>280</v>
      </c>
      <c r="D511" s="107" t="s">
        <v>281</v>
      </c>
      <c r="F511" s="154" t="str">
        <f t="shared" si="53"/>
        <v>T17</v>
      </c>
      <c r="G511" s="113" t="s">
        <v>282</v>
      </c>
      <c r="H511" s="111" t="s">
        <v>511</v>
      </c>
      <c r="I511" s="114" t="s">
        <v>1409</v>
      </c>
      <c r="J511" s="121">
        <v>1982</v>
      </c>
      <c r="K511" s="119">
        <v>33</v>
      </c>
      <c r="L511" s="109" t="str">
        <f t="shared" si="52"/>
        <v>OK</v>
      </c>
      <c r="M511" s="107" t="s">
        <v>827</v>
      </c>
    </row>
    <row r="512" spans="1:13" ht="13.5">
      <c r="A512" s="107" t="s">
        <v>283</v>
      </c>
      <c r="B512" s="113" t="s">
        <v>284</v>
      </c>
      <c r="C512" s="113" t="s">
        <v>285</v>
      </c>
      <c r="D512" s="107" t="s">
        <v>534</v>
      </c>
      <c r="F512" s="154" t="str">
        <f t="shared" si="53"/>
        <v>T18</v>
      </c>
      <c r="G512" s="113" t="s">
        <v>286</v>
      </c>
      <c r="H512" s="111" t="s">
        <v>287</v>
      </c>
      <c r="I512" s="114" t="s">
        <v>1409</v>
      </c>
      <c r="J512" s="121">
        <v>1977</v>
      </c>
      <c r="K512" s="119">
        <v>38</v>
      </c>
      <c r="L512" s="109" t="str">
        <f t="shared" si="52"/>
        <v>OK</v>
      </c>
      <c r="M512" s="107" t="s">
        <v>827</v>
      </c>
    </row>
    <row r="513" spans="1:13" s="124" customFormat="1" ht="13.5">
      <c r="A513" s="107" t="s">
        <v>288</v>
      </c>
      <c r="B513" s="107" t="s">
        <v>284</v>
      </c>
      <c r="C513" s="107" t="s">
        <v>289</v>
      </c>
      <c r="D513" s="107" t="s">
        <v>290</v>
      </c>
      <c r="E513" s="107"/>
      <c r="F513" s="154" t="str">
        <f t="shared" si="53"/>
        <v>T19</v>
      </c>
      <c r="G513" s="107" t="s">
        <v>291</v>
      </c>
      <c r="H513" s="111" t="s">
        <v>292</v>
      </c>
      <c r="I513" s="107" t="s">
        <v>791</v>
      </c>
      <c r="J513" s="118">
        <v>1976</v>
      </c>
      <c r="K513" s="118">
        <v>39</v>
      </c>
      <c r="L513" s="109" t="str">
        <f t="shared" si="52"/>
        <v>OK</v>
      </c>
      <c r="M513" s="107" t="s">
        <v>827</v>
      </c>
    </row>
    <row r="514" spans="1:13" ht="13.5">
      <c r="A514" s="107" t="s">
        <v>293</v>
      </c>
      <c r="B514" s="107" t="s">
        <v>294</v>
      </c>
      <c r="C514" s="107" t="s">
        <v>295</v>
      </c>
      <c r="D514" s="107" t="s">
        <v>296</v>
      </c>
      <c r="F514" s="154" t="str">
        <f t="shared" si="53"/>
        <v>T20</v>
      </c>
      <c r="G514" s="107" t="s">
        <v>297</v>
      </c>
      <c r="H514" s="111" t="s">
        <v>292</v>
      </c>
      <c r="I514" s="107" t="s">
        <v>791</v>
      </c>
      <c r="J514" s="118">
        <v>1981</v>
      </c>
      <c r="K514" s="118">
        <v>33</v>
      </c>
      <c r="L514" s="109" t="str">
        <f t="shared" si="52"/>
        <v>OK</v>
      </c>
      <c r="M514" s="107" t="s">
        <v>1320</v>
      </c>
    </row>
    <row r="516" spans="2:12" ht="13.5">
      <c r="B516" s="187"/>
      <c r="C516" s="187"/>
      <c r="D516" s="108"/>
      <c r="E516" s="110"/>
      <c r="H516" s="111"/>
      <c r="I516" s="110"/>
      <c r="J516" s="120"/>
      <c r="K516" s="230"/>
      <c r="L516" s="109">
        <f>IF(G516="","",IF(COUNTIF($G$24:$G$617,G516)&gt;1,"2重登録","OK"))</f>
      </c>
    </row>
    <row r="517" spans="2:12" ht="13.5">
      <c r="B517" s="187"/>
      <c r="C517" s="187"/>
      <c r="D517" s="108"/>
      <c r="E517" s="110"/>
      <c r="H517" s="111"/>
      <c r="I517" s="110"/>
      <c r="J517" s="120"/>
      <c r="K517" s="230"/>
      <c r="L517" s="109">
        <f>IF(G517="","",IF(COUNTIF($G$24:$G$617,G517)&gt;1,"2重登録","OK"))</f>
      </c>
    </row>
    <row r="518" spans="1:13" ht="13.5">
      <c r="A518" s="188"/>
      <c r="B518" s="665" t="s">
        <v>774</v>
      </c>
      <c r="C518" s="665"/>
      <c r="D518" s="665" t="s">
        <v>775</v>
      </c>
      <c r="E518" s="665"/>
      <c r="F518" s="665"/>
      <c r="G518" s="665"/>
      <c r="H518" s="188"/>
      <c r="I518" s="188"/>
      <c r="J518" s="190"/>
      <c r="K518" s="188"/>
      <c r="L518" s="109">
        <f>IF(G518="","",IF(COUNTIF($G$24:$G$617,G518)&gt;1,"2重登録","OK"))</f>
      </c>
      <c r="M518" s="188"/>
    </row>
    <row r="519" spans="1:14" s="210" customFormat="1" ht="13.5">
      <c r="A519" s="188"/>
      <c r="B519" s="665"/>
      <c r="C519" s="665"/>
      <c r="D519" s="665"/>
      <c r="E519" s="665"/>
      <c r="F519" s="665"/>
      <c r="G519" s="665"/>
      <c r="H519" s="188"/>
      <c r="I519" s="188"/>
      <c r="J519" s="190"/>
      <c r="K519" s="188"/>
      <c r="L519" s="109">
        <f>IF(G519="","",IF(COUNTIF($G$24:$G$617,G519)&gt;1,"2重登録","OK"))</f>
      </c>
      <c r="M519" s="188"/>
      <c r="N519" s="257"/>
    </row>
    <row r="520" spans="1:14" s="210" customFormat="1" ht="13.5">
      <c r="A520" s="110"/>
      <c r="B520" s="110" t="s">
        <v>1197</v>
      </c>
      <c r="C520" s="110"/>
      <c r="D520" s="107"/>
      <c r="E520" s="666" t="s">
        <v>1429</v>
      </c>
      <c r="F520" s="666"/>
      <c r="G520" s="107" t="s">
        <v>1370</v>
      </c>
      <c r="H520" s="658" t="s">
        <v>1371</v>
      </c>
      <c r="I520" s="658"/>
      <c r="J520" s="658"/>
      <c r="K520" s="230"/>
      <c r="L520" s="109"/>
      <c r="M520" s="107"/>
      <c r="N520" s="257"/>
    </row>
    <row r="521" spans="1:15" s="210" customFormat="1" ht="13.5">
      <c r="A521" s="110"/>
      <c r="B521" s="667" t="s">
        <v>554</v>
      </c>
      <c r="C521" s="667"/>
      <c r="D521" s="667"/>
      <c r="E521" s="664" t="s">
        <v>1430</v>
      </c>
      <c r="F521" s="664"/>
      <c r="G521" s="141">
        <f>COUNTIF(M522:M570,"東近江市")</f>
        <v>8</v>
      </c>
      <c r="H521" s="664">
        <f>(G521/RIGHT(A567,2))</f>
        <v>0.17391304347826086</v>
      </c>
      <c r="I521" s="664"/>
      <c r="J521" s="664"/>
      <c r="K521" s="230"/>
      <c r="L521" s="109"/>
      <c r="M521" s="107"/>
      <c r="N521" s="258"/>
      <c r="O521" s="259"/>
    </row>
    <row r="522" spans="1:14" s="210" customFormat="1" ht="14.25">
      <c r="A522" s="260" t="s">
        <v>298</v>
      </c>
      <c r="B522" s="128" t="s">
        <v>1233</v>
      </c>
      <c r="C522" s="128" t="s">
        <v>1234</v>
      </c>
      <c r="D522" s="110" t="s">
        <v>1197</v>
      </c>
      <c r="E522" s="127"/>
      <c r="F522" s="154" t="str">
        <f aca="true" t="shared" si="56" ref="F522:F566">A522</f>
        <v>U01</v>
      </c>
      <c r="G522" s="188" t="str">
        <f>B522&amp;C522</f>
        <v>池上浩幸</v>
      </c>
      <c r="H522" s="110" t="s">
        <v>776</v>
      </c>
      <c r="I522" s="110" t="s">
        <v>1214</v>
      </c>
      <c r="J522" s="130">
        <v>1965</v>
      </c>
      <c r="K522" s="230">
        <f aca="true" t="shared" si="57" ref="K522:K571">2016-J522</f>
        <v>51</v>
      </c>
      <c r="L522" s="109" t="str">
        <f aca="true" t="shared" si="58" ref="L522:L553">IF(G522="","",IF(COUNTIF($G$24:$G$617,G522)&gt;1,"2重登録","OK"))</f>
        <v>OK</v>
      </c>
      <c r="M522" s="140" t="s">
        <v>824</v>
      </c>
      <c r="N522" s="257"/>
    </row>
    <row r="523" spans="1:14" s="210" customFormat="1" ht="14.25">
      <c r="A523" s="260" t="s">
        <v>299</v>
      </c>
      <c r="B523" s="128" t="s">
        <v>1235</v>
      </c>
      <c r="C523" s="128" t="s">
        <v>1236</v>
      </c>
      <c r="D523" s="110" t="s">
        <v>1197</v>
      </c>
      <c r="E523" s="127"/>
      <c r="F523" s="154" t="str">
        <f t="shared" si="56"/>
        <v>U02</v>
      </c>
      <c r="G523" s="188" t="str">
        <f>B523&amp;C523</f>
        <v>石井正俊</v>
      </c>
      <c r="H523" s="110" t="s">
        <v>776</v>
      </c>
      <c r="I523" s="110" t="s">
        <v>1214</v>
      </c>
      <c r="J523" s="130">
        <v>1975</v>
      </c>
      <c r="K523" s="230">
        <f t="shared" si="57"/>
        <v>41</v>
      </c>
      <c r="L523" s="109" t="str">
        <f t="shared" si="58"/>
        <v>OK</v>
      </c>
      <c r="M523" s="140" t="s">
        <v>825</v>
      </c>
      <c r="N523" s="257"/>
    </row>
    <row r="524" spans="1:14" s="210" customFormat="1" ht="13.5">
      <c r="A524" s="260" t="s">
        <v>300</v>
      </c>
      <c r="B524" s="153" t="s">
        <v>677</v>
      </c>
      <c r="C524" s="153" t="s">
        <v>673</v>
      </c>
      <c r="D524" s="110" t="s">
        <v>1197</v>
      </c>
      <c r="E524" s="127"/>
      <c r="F524" s="154" t="str">
        <f t="shared" si="56"/>
        <v>U03</v>
      </c>
      <c r="G524" s="188" t="str">
        <f>B524&amp;C524</f>
        <v>一色 翼</v>
      </c>
      <c r="H524" s="110" t="s">
        <v>776</v>
      </c>
      <c r="I524" s="133" t="s">
        <v>1214</v>
      </c>
      <c r="J524" s="173">
        <v>1983</v>
      </c>
      <c r="K524" s="230">
        <f t="shared" si="57"/>
        <v>33</v>
      </c>
      <c r="L524" s="109" t="str">
        <f t="shared" si="58"/>
        <v>OK</v>
      </c>
      <c r="M524" s="261" t="s">
        <v>1350</v>
      </c>
      <c r="N524" s="257"/>
    </row>
    <row r="525" spans="1:14" s="210" customFormat="1" ht="13.5">
      <c r="A525" s="260" t="s">
        <v>301</v>
      </c>
      <c r="B525" s="151" t="s">
        <v>555</v>
      </c>
      <c r="C525" s="188" t="s">
        <v>556</v>
      </c>
      <c r="D525" s="110" t="s">
        <v>1197</v>
      </c>
      <c r="E525" s="188"/>
      <c r="F525" s="154" t="str">
        <f t="shared" si="56"/>
        <v>U04</v>
      </c>
      <c r="G525" s="188" t="s">
        <v>557</v>
      </c>
      <c r="H525" s="110" t="s">
        <v>776</v>
      </c>
      <c r="I525" s="133" t="s">
        <v>302</v>
      </c>
      <c r="J525" s="190">
        <v>1988</v>
      </c>
      <c r="K525" s="230">
        <f t="shared" si="57"/>
        <v>28</v>
      </c>
      <c r="L525" s="109" t="str">
        <f t="shared" si="58"/>
        <v>OK</v>
      </c>
      <c r="M525" s="140" t="s">
        <v>825</v>
      </c>
      <c r="N525" s="257"/>
    </row>
    <row r="526" spans="1:13" s="210" customFormat="1" ht="14.25">
      <c r="A526" s="260" t="s">
        <v>303</v>
      </c>
      <c r="B526" s="129" t="s">
        <v>1237</v>
      </c>
      <c r="C526" s="129" t="s">
        <v>1238</v>
      </c>
      <c r="D526" s="110" t="s">
        <v>1197</v>
      </c>
      <c r="E526" s="127"/>
      <c r="F526" s="154" t="str">
        <f t="shared" si="56"/>
        <v>U05</v>
      </c>
      <c r="G526" s="188" t="str">
        <f>B526&amp;C526</f>
        <v>片岡一寿</v>
      </c>
      <c r="H526" s="110" t="s">
        <v>776</v>
      </c>
      <c r="I526" s="110" t="s">
        <v>1214</v>
      </c>
      <c r="J526" s="130">
        <v>1971</v>
      </c>
      <c r="K526" s="230">
        <f t="shared" si="57"/>
        <v>45</v>
      </c>
      <c r="L526" s="109" t="str">
        <f t="shared" si="58"/>
        <v>OK</v>
      </c>
      <c r="M526" s="140" t="s">
        <v>826</v>
      </c>
    </row>
    <row r="527" spans="1:14" s="210" customFormat="1" ht="14.25">
      <c r="A527" s="260" t="s">
        <v>304</v>
      </c>
      <c r="B527" s="129" t="s">
        <v>831</v>
      </c>
      <c r="C527" s="129" t="s">
        <v>1239</v>
      </c>
      <c r="D527" s="110" t="s">
        <v>1197</v>
      </c>
      <c r="E527" s="127"/>
      <c r="F527" s="154" t="str">
        <f t="shared" si="56"/>
        <v>U06</v>
      </c>
      <c r="G527" s="188" t="str">
        <f>B527&amp;C527</f>
        <v>片岡  大</v>
      </c>
      <c r="H527" s="110" t="s">
        <v>776</v>
      </c>
      <c r="I527" s="110" t="s">
        <v>1214</v>
      </c>
      <c r="J527" s="130">
        <v>1969</v>
      </c>
      <c r="K527" s="230">
        <f t="shared" si="57"/>
        <v>47</v>
      </c>
      <c r="L527" s="109" t="str">
        <f t="shared" si="58"/>
        <v>OK</v>
      </c>
      <c r="M527" s="140" t="s">
        <v>822</v>
      </c>
      <c r="N527" s="257"/>
    </row>
    <row r="528" spans="1:14" s="210" customFormat="1" ht="13.5">
      <c r="A528" s="260" t="s">
        <v>305</v>
      </c>
      <c r="B528" s="151" t="s">
        <v>558</v>
      </c>
      <c r="C528" s="188" t="s">
        <v>559</v>
      </c>
      <c r="D528" s="110" t="s">
        <v>1197</v>
      </c>
      <c r="E528" s="188"/>
      <c r="F528" s="154" t="str">
        <f t="shared" si="56"/>
        <v>U07</v>
      </c>
      <c r="G528" s="188" t="s">
        <v>560</v>
      </c>
      <c r="H528" s="110" t="s">
        <v>776</v>
      </c>
      <c r="I528" s="262" t="s">
        <v>306</v>
      </c>
      <c r="J528" s="190">
        <v>1981</v>
      </c>
      <c r="K528" s="230">
        <f t="shared" si="57"/>
        <v>35</v>
      </c>
      <c r="L528" s="109" t="str">
        <f t="shared" si="58"/>
        <v>OK</v>
      </c>
      <c r="M528" s="140" t="s">
        <v>1359</v>
      </c>
      <c r="N528" s="257"/>
    </row>
    <row r="529" spans="1:13" s="210" customFormat="1" ht="14.25">
      <c r="A529" s="260" t="s">
        <v>307</v>
      </c>
      <c r="B529" s="151" t="s">
        <v>788</v>
      </c>
      <c r="C529" s="151" t="s">
        <v>496</v>
      </c>
      <c r="D529" s="110" t="s">
        <v>1197</v>
      </c>
      <c r="E529" s="153"/>
      <c r="F529" s="154" t="str">
        <f t="shared" si="56"/>
        <v>U08</v>
      </c>
      <c r="G529" s="188" t="str">
        <f>B529&amp;C529</f>
        <v>木下 進</v>
      </c>
      <c r="H529" s="110" t="s">
        <v>776</v>
      </c>
      <c r="I529" s="110" t="s">
        <v>1214</v>
      </c>
      <c r="J529" s="131">
        <v>1950</v>
      </c>
      <c r="K529" s="230">
        <f t="shared" si="57"/>
        <v>66</v>
      </c>
      <c r="L529" s="109" t="str">
        <f t="shared" si="58"/>
        <v>OK</v>
      </c>
      <c r="M529" s="140" t="s">
        <v>789</v>
      </c>
    </row>
    <row r="530" spans="1:14" s="210" customFormat="1" ht="13.5">
      <c r="A530" s="260" t="s">
        <v>308</v>
      </c>
      <c r="B530" s="151" t="s">
        <v>1445</v>
      </c>
      <c r="C530" s="188" t="s">
        <v>640</v>
      </c>
      <c r="D530" s="110" t="s">
        <v>1197</v>
      </c>
      <c r="E530" s="188"/>
      <c r="F530" s="189" t="str">
        <f t="shared" si="56"/>
        <v>U09</v>
      </c>
      <c r="G530" s="188" t="str">
        <f>B530&amp;C530</f>
        <v>久保田勉</v>
      </c>
      <c r="H530" s="110" t="s">
        <v>776</v>
      </c>
      <c r="I530" s="133" t="s">
        <v>309</v>
      </c>
      <c r="J530" s="190">
        <v>1967</v>
      </c>
      <c r="K530" s="230">
        <f t="shared" si="57"/>
        <v>49</v>
      </c>
      <c r="L530" s="109" t="str">
        <f t="shared" si="58"/>
        <v>OK</v>
      </c>
      <c r="M530" s="140" t="s">
        <v>641</v>
      </c>
      <c r="N530" s="257"/>
    </row>
    <row r="531" spans="1:13" s="210" customFormat="1" ht="13.5">
      <c r="A531" s="260" t="s">
        <v>310</v>
      </c>
      <c r="B531" s="151" t="s">
        <v>561</v>
      </c>
      <c r="C531" s="188" t="s">
        <v>562</v>
      </c>
      <c r="D531" s="110" t="s">
        <v>1197</v>
      </c>
      <c r="E531" s="127"/>
      <c r="F531" s="154" t="str">
        <f t="shared" si="56"/>
        <v>U10</v>
      </c>
      <c r="G531" s="188" t="s">
        <v>563</v>
      </c>
      <c r="H531" s="110" t="s">
        <v>776</v>
      </c>
      <c r="I531" s="133" t="s">
        <v>311</v>
      </c>
      <c r="J531" s="190">
        <v>1997</v>
      </c>
      <c r="K531" s="230">
        <f t="shared" si="57"/>
        <v>19</v>
      </c>
      <c r="L531" s="109" t="str">
        <f t="shared" si="58"/>
        <v>OK</v>
      </c>
      <c r="M531" s="113" t="s">
        <v>830</v>
      </c>
    </row>
    <row r="532" spans="1:13" s="210" customFormat="1" ht="13.5">
      <c r="A532" s="260" t="s">
        <v>312</v>
      </c>
      <c r="B532" s="159" t="s">
        <v>691</v>
      </c>
      <c r="C532" s="159" t="s">
        <v>692</v>
      </c>
      <c r="D532" s="110" t="s">
        <v>1197</v>
      </c>
      <c r="E532" s="144"/>
      <c r="F532" s="144" t="str">
        <f t="shared" si="56"/>
        <v>U11</v>
      </c>
      <c r="G532" s="107" t="str">
        <f>B532&amp;C532</f>
        <v>稙田優也</v>
      </c>
      <c r="H532" s="110" t="s">
        <v>776</v>
      </c>
      <c r="I532" s="107" t="s">
        <v>1214</v>
      </c>
      <c r="J532" s="191">
        <v>1982</v>
      </c>
      <c r="K532" s="230">
        <f t="shared" si="57"/>
        <v>34</v>
      </c>
      <c r="L532" s="109" t="str">
        <f t="shared" si="58"/>
        <v>OK</v>
      </c>
      <c r="M532" s="110" t="s">
        <v>825</v>
      </c>
    </row>
    <row r="533" spans="1:20" s="210" customFormat="1" ht="13.5">
      <c r="A533" s="260" t="s">
        <v>313</v>
      </c>
      <c r="B533" s="151" t="s">
        <v>564</v>
      </c>
      <c r="C533" s="188" t="s">
        <v>544</v>
      </c>
      <c r="D533" s="110" t="s">
        <v>1197</v>
      </c>
      <c r="E533" s="188"/>
      <c r="F533" s="154" t="str">
        <f t="shared" si="56"/>
        <v>U12</v>
      </c>
      <c r="G533" s="188" t="s">
        <v>565</v>
      </c>
      <c r="H533" s="110" t="s">
        <v>776</v>
      </c>
      <c r="I533" s="133" t="s">
        <v>314</v>
      </c>
      <c r="J533" s="190">
        <v>1987</v>
      </c>
      <c r="K533" s="230">
        <f t="shared" si="57"/>
        <v>29</v>
      </c>
      <c r="L533" s="109" t="str">
        <f t="shared" si="58"/>
        <v>OK</v>
      </c>
      <c r="M533" s="140" t="s">
        <v>1320</v>
      </c>
      <c r="N533" s="124"/>
      <c r="O533" s="124"/>
      <c r="P533" s="124"/>
      <c r="Q533" s="124"/>
      <c r="R533" s="124"/>
      <c r="S533" s="124"/>
      <c r="T533" s="124"/>
    </row>
    <row r="534" spans="1:13" s="210" customFormat="1" ht="14.25">
      <c r="A534" s="260" t="s">
        <v>315</v>
      </c>
      <c r="B534" s="128" t="s">
        <v>1240</v>
      </c>
      <c r="C534" s="128" t="s">
        <v>1241</v>
      </c>
      <c r="D534" s="110" t="s">
        <v>1197</v>
      </c>
      <c r="E534" s="127"/>
      <c r="F534" s="154" t="str">
        <f t="shared" si="56"/>
        <v>U13</v>
      </c>
      <c r="G534" s="188" t="str">
        <f>B534&amp;C534</f>
        <v>竹田圭佑</v>
      </c>
      <c r="H534" s="110" t="s">
        <v>776</v>
      </c>
      <c r="I534" s="110" t="s">
        <v>1214</v>
      </c>
      <c r="J534" s="130">
        <v>1982</v>
      </c>
      <c r="K534" s="230">
        <f t="shared" si="57"/>
        <v>34</v>
      </c>
      <c r="L534" s="109" t="str">
        <f t="shared" si="58"/>
        <v>OK</v>
      </c>
      <c r="M534" s="140" t="s">
        <v>827</v>
      </c>
    </row>
    <row r="535" spans="1:14" s="210" customFormat="1" ht="13.5">
      <c r="A535" s="260" t="s">
        <v>316</v>
      </c>
      <c r="B535" s="151" t="s">
        <v>566</v>
      </c>
      <c r="C535" s="188" t="s">
        <v>567</v>
      </c>
      <c r="D535" s="110" t="s">
        <v>1197</v>
      </c>
      <c r="E535" s="188"/>
      <c r="F535" s="154" t="str">
        <f t="shared" si="56"/>
        <v>U14</v>
      </c>
      <c r="G535" s="188" t="s">
        <v>568</v>
      </c>
      <c r="H535" s="110" t="s">
        <v>776</v>
      </c>
      <c r="I535" s="262" t="s">
        <v>1214</v>
      </c>
      <c r="J535" s="190">
        <v>1967</v>
      </c>
      <c r="K535" s="230">
        <f t="shared" si="57"/>
        <v>49</v>
      </c>
      <c r="L535" s="109" t="str">
        <f t="shared" si="58"/>
        <v>OK</v>
      </c>
      <c r="M535" s="140" t="s">
        <v>1359</v>
      </c>
      <c r="N535" s="257"/>
    </row>
    <row r="536" spans="1:13" s="210" customFormat="1" ht="13.5">
      <c r="A536" s="260" t="s">
        <v>317</v>
      </c>
      <c r="B536" s="151" t="s">
        <v>642</v>
      </c>
      <c r="C536" s="151" t="s">
        <v>643</v>
      </c>
      <c r="D536" s="110" t="s">
        <v>1197</v>
      </c>
      <c r="E536" s="188"/>
      <c r="F536" s="154" t="str">
        <f t="shared" si="56"/>
        <v>U15</v>
      </c>
      <c r="G536" s="188" t="str">
        <f>B536&amp;C536</f>
        <v>永瀬卓夫</v>
      </c>
      <c r="H536" s="110" t="s">
        <v>776</v>
      </c>
      <c r="I536" s="133" t="s">
        <v>318</v>
      </c>
      <c r="J536" s="190">
        <v>1950</v>
      </c>
      <c r="K536" s="230">
        <f t="shared" si="57"/>
        <v>66</v>
      </c>
      <c r="L536" s="109" t="str">
        <f t="shared" si="58"/>
        <v>OK</v>
      </c>
      <c r="M536" s="140" t="s">
        <v>1352</v>
      </c>
    </row>
    <row r="537" spans="1:20" s="124" customFormat="1" ht="13.5">
      <c r="A537" s="260" t="s">
        <v>319</v>
      </c>
      <c r="B537" s="151" t="s">
        <v>569</v>
      </c>
      <c r="C537" s="188" t="s">
        <v>570</v>
      </c>
      <c r="D537" s="110" t="s">
        <v>1197</v>
      </c>
      <c r="E537" s="188"/>
      <c r="F537" s="154" t="str">
        <f t="shared" si="56"/>
        <v>U16</v>
      </c>
      <c r="G537" s="188" t="str">
        <f>B537&amp;C537</f>
        <v>倍田 武</v>
      </c>
      <c r="H537" s="110" t="s">
        <v>776</v>
      </c>
      <c r="I537" s="262" t="s">
        <v>1214</v>
      </c>
      <c r="J537" s="190">
        <v>1970</v>
      </c>
      <c r="K537" s="230">
        <f t="shared" si="57"/>
        <v>46</v>
      </c>
      <c r="L537" s="109" t="str">
        <f t="shared" si="58"/>
        <v>OK</v>
      </c>
      <c r="M537" s="140" t="s">
        <v>826</v>
      </c>
      <c r="N537" s="210"/>
      <c r="O537" s="210"/>
      <c r="P537" s="210"/>
      <c r="Q537" s="210"/>
      <c r="R537" s="210"/>
      <c r="S537" s="210"/>
      <c r="T537" s="210"/>
    </row>
    <row r="538" spans="1:20" s="124" customFormat="1" ht="13.5">
      <c r="A538" s="260" t="s">
        <v>320</v>
      </c>
      <c r="B538" s="151" t="s">
        <v>682</v>
      </c>
      <c r="C538" s="188" t="s">
        <v>571</v>
      </c>
      <c r="D538" s="110" t="s">
        <v>1197</v>
      </c>
      <c r="E538" s="188"/>
      <c r="F538" s="189" t="str">
        <f t="shared" si="56"/>
        <v>U17</v>
      </c>
      <c r="G538" s="188" t="str">
        <f aca="true" t="shared" si="59" ref="G538:G550">B538&amp;C538</f>
        <v>久田 彰</v>
      </c>
      <c r="H538" s="110" t="s">
        <v>776</v>
      </c>
      <c r="I538" s="133" t="s">
        <v>1214</v>
      </c>
      <c r="J538" s="190">
        <v>1971</v>
      </c>
      <c r="K538" s="230">
        <f t="shared" si="57"/>
        <v>45</v>
      </c>
      <c r="L538" s="109" t="str">
        <f t="shared" si="58"/>
        <v>OK</v>
      </c>
      <c r="M538" s="140" t="s">
        <v>826</v>
      </c>
      <c r="N538" s="210"/>
      <c r="O538" s="210"/>
      <c r="P538" s="210"/>
      <c r="Q538" s="210"/>
      <c r="R538" s="210"/>
      <c r="S538" s="210"/>
      <c r="T538" s="210"/>
    </row>
    <row r="539" spans="1:20" s="124" customFormat="1" ht="14.25">
      <c r="A539" s="260" t="s">
        <v>321</v>
      </c>
      <c r="B539" s="128" t="s">
        <v>1243</v>
      </c>
      <c r="C539" s="128" t="s">
        <v>1244</v>
      </c>
      <c r="D539" s="110" t="s">
        <v>1197</v>
      </c>
      <c r="E539" s="127"/>
      <c r="F539" s="154" t="str">
        <f t="shared" si="56"/>
        <v>U18</v>
      </c>
      <c r="G539" s="188" t="str">
        <f t="shared" si="59"/>
        <v>山田智史</v>
      </c>
      <c r="H539" s="110" t="s">
        <v>776</v>
      </c>
      <c r="I539" s="110" t="s">
        <v>1214</v>
      </c>
      <c r="J539" s="130">
        <v>1969</v>
      </c>
      <c r="K539" s="230">
        <f t="shared" si="57"/>
        <v>47</v>
      </c>
      <c r="L539" s="109" t="str">
        <f t="shared" si="58"/>
        <v>OK</v>
      </c>
      <c r="M539" s="140" t="s">
        <v>825</v>
      </c>
      <c r="N539" s="210"/>
      <c r="O539" s="210"/>
      <c r="P539" s="210"/>
      <c r="Q539" s="210"/>
      <c r="R539" s="210"/>
      <c r="S539" s="210"/>
      <c r="T539" s="210"/>
    </row>
    <row r="540" spans="1:20" s="124" customFormat="1" ht="14.25">
      <c r="A540" s="260" t="s">
        <v>322</v>
      </c>
      <c r="B540" s="128" t="s">
        <v>1245</v>
      </c>
      <c r="C540" s="128" t="s">
        <v>1246</v>
      </c>
      <c r="D540" s="110" t="s">
        <v>1197</v>
      </c>
      <c r="E540" s="127"/>
      <c r="F540" s="154" t="str">
        <f t="shared" si="56"/>
        <v>U19</v>
      </c>
      <c r="G540" s="188" t="str">
        <f t="shared" si="59"/>
        <v>山本昌紀</v>
      </c>
      <c r="H540" s="110" t="s">
        <v>776</v>
      </c>
      <c r="I540" s="110" t="s">
        <v>1214</v>
      </c>
      <c r="J540" s="130">
        <v>1970</v>
      </c>
      <c r="K540" s="230">
        <f t="shared" si="57"/>
        <v>46</v>
      </c>
      <c r="L540" s="109" t="str">
        <f t="shared" si="58"/>
        <v>OK</v>
      </c>
      <c r="M540" s="140" t="s">
        <v>829</v>
      </c>
      <c r="N540" s="257"/>
      <c r="O540" s="210"/>
      <c r="P540" s="210"/>
      <c r="Q540" s="210"/>
      <c r="R540" s="210"/>
      <c r="S540" s="210"/>
      <c r="T540" s="210"/>
    </row>
    <row r="541" spans="1:14" s="210" customFormat="1" ht="13.5">
      <c r="A541" s="260" t="s">
        <v>323</v>
      </c>
      <c r="B541" s="153" t="s">
        <v>832</v>
      </c>
      <c r="C541" s="153" t="s">
        <v>324</v>
      </c>
      <c r="D541" s="110" t="s">
        <v>1197</v>
      </c>
      <c r="E541" s="127"/>
      <c r="F541" s="154" t="str">
        <f t="shared" si="56"/>
        <v>U20</v>
      </c>
      <c r="G541" s="188" t="str">
        <f t="shared" si="59"/>
        <v>吉村 淳</v>
      </c>
      <c r="H541" s="110" t="s">
        <v>776</v>
      </c>
      <c r="I541" s="133" t="s">
        <v>1214</v>
      </c>
      <c r="J541" s="173">
        <v>1976</v>
      </c>
      <c r="K541" s="230">
        <f t="shared" si="57"/>
        <v>40</v>
      </c>
      <c r="L541" s="109" t="str">
        <f t="shared" si="58"/>
        <v>OK</v>
      </c>
      <c r="M541" s="140" t="s">
        <v>796</v>
      </c>
      <c r="N541" s="257"/>
    </row>
    <row r="542" spans="1:14" s="210" customFormat="1" ht="13.5">
      <c r="A542" s="260" t="s">
        <v>325</v>
      </c>
      <c r="B542" s="107" t="s">
        <v>1193</v>
      </c>
      <c r="C542" s="107" t="s">
        <v>1194</v>
      </c>
      <c r="D542" s="110" t="s">
        <v>1197</v>
      </c>
      <c r="E542" s="107"/>
      <c r="F542" s="107" t="str">
        <f t="shared" si="56"/>
        <v>U21</v>
      </c>
      <c r="G542" s="107" t="str">
        <f t="shared" si="59"/>
        <v>井内一博</v>
      </c>
      <c r="H542" s="110" t="s">
        <v>776</v>
      </c>
      <c r="I542" s="107" t="s">
        <v>1214</v>
      </c>
      <c r="J542" s="191">
        <v>1976</v>
      </c>
      <c r="K542" s="230">
        <f t="shared" si="57"/>
        <v>40</v>
      </c>
      <c r="L542" s="109" t="str">
        <f t="shared" si="58"/>
        <v>OK</v>
      </c>
      <c r="M542" s="107" t="s">
        <v>812</v>
      </c>
      <c r="N542" s="257"/>
    </row>
    <row r="543" spans="1:20" s="210" customFormat="1" ht="14.25">
      <c r="A543" s="260" t="s">
        <v>326</v>
      </c>
      <c r="B543" s="174" t="s">
        <v>777</v>
      </c>
      <c r="C543" s="175" t="s">
        <v>778</v>
      </c>
      <c r="D543" s="110" t="s">
        <v>1197</v>
      </c>
      <c r="E543" s="176"/>
      <c r="F543" s="154" t="str">
        <f t="shared" si="56"/>
        <v>U22</v>
      </c>
      <c r="G543" s="188" t="str">
        <f t="shared" si="59"/>
        <v>高瀬眞志</v>
      </c>
      <c r="H543" s="110" t="s">
        <v>776</v>
      </c>
      <c r="I543" s="110" t="s">
        <v>1214</v>
      </c>
      <c r="J543" s="177">
        <v>1959</v>
      </c>
      <c r="K543" s="230">
        <f t="shared" si="57"/>
        <v>57</v>
      </c>
      <c r="L543" s="109" t="str">
        <f t="shared" si="58"/>
        <v>OK</v>
      </c>
      <c r="M543" s="140" t="s">
        <v>824</v>
      </c>
      <c r="N543" s="124"/>
      <c r="O543" s="124"/>
      <c r="P543" s="124"/>
      <c r="Q543" s="124"/>
      <c r="R543" s="124"/>
      <c r="S543" s="124"/>
      <c r="T543" s="136"/>
    </row>
    <row r="544" spans="1:14" s="210" customFormat="1" ht="13.5">
      <c r="A544" s="260" t="s">
        <v>327</v>
      </c>
      <c r="B544" s="108" t="s">
        <v>1195</v>
      </c>
      <c r="C544" s="108" t="s">
        <v>1196</v>
      </c>
      <c r="D544" s="110" t="s">
        <v>1197</v>
      </c>
      <c r="E544" s="107"/>
      <c r="F544" s="107" t="str">
        <f t="shared" si="56"/>
        <v>U23</v>
      </c>
      <c r="G544" s="107" t="str">
        <f t="shared" si="59"/>
        <v>竹下英伸</v>
      </c>
      <c r="H544" s="110" t="s">
        <v>776</v>
      </c>
      <c r="I544" s="107" t="s">
        <v>1214</v>
      </c>
      <c r="J544" s="191">
        <v>1972</v>
      </c>
      <c r="K544" s="230">
        <f t="shared" si="57"/>
        <v>44</v>
      </c>
      <c r="L544" s="109" t="str">
        <f t="shared" si="58"/>
        <v>OK</v>
      </c>
      <c r="M544" s="113" t="s">
        <v>830</v>
      </c>
      <c r="N544" s="257"/>
    </row>
    <row r="545" spans="1:20" s="210" customFormat="1" ht="13.5">
      <c r="A545" s="260" t="s">
        <v>328</v>
      </c>
      <c r="B545" s="108" t="s">
        <v>572</v>
      </c>
      <c r="C545" s="108" t="s">
        <v>573</v>
      </c>
      <c r="D545" s="110" t="s">
        <v>1197</v>
      </c>
      <c r="E545" s="107"/>
      <c r="F545" s="107" t="str">
        <f t="shared" si="56"/>
        <v>U24</v>
      </c>
      <c r="G545" s="107" t="str">
        <f t="shared" si="59"/>
        <v>中原康晶</v>
      </c>
      <c r="H545" s="110" t="s">
        <v>776</v>
      </c>
      <c r="I545" s="107" t="s">
        <v>329</v>
      </c>
      <c r="J545" s="191">
        <v>1984</v>
      </c>
      <c r="K545" s="230">
        <f t="shared" si="57"/>
        <v>32</v>
      </c>
      <c r="L545" s="109" t="str">
        <f t="shared" si="58"/>
        <v>OK</v>
      </c>
      <c r="M545" s="107" t="s">
        <v>812</v>
      </c>
      <c r="N545" s="124"/>
      <c r="O545" s="124"/>
      <c r="P545" s="124"/>
      <c r="Q545" s="124"/>
      <c r="R545" s="124"/>
      <c r="S545" s="136"/>
      <c r="T545" s="124"/>
    </row>
    <row r="546" spans="1:20" s="210" customFormat="1" ht="13.5">
      <c r="A546" s="260" t="s">
        <v>330</v>
      </c>
      <c r="B546" s="108" t="s">
        <v>331</v>
      </c>
      <c r="C546" s="108" t="s">
        <v>332</v>
      </c>
      <c r="D546" s="110" t="s">
        <v>1197</v>
      </c>
      <c r="E546" s="107"/>
      <c r="F546" s="107" t="str">
        <f t="shared" si="56"/>
        <v>U25</v>
      </c>
      <c r="G546" s="107" t="str">
        <f t="shared" si="59"/>
        <v>田中邦明</v>
      </c>
      <c r="H546" s="110" t="s">
        <v>776</v>
      </c>
      <c r="I546" s="107" t="s">
        <v>1214</v>
      </c>
      <c r="J546" s="191">
        <v>1984</v>
      </c>
      <c r="K546" s="230">
        <f t="shared" si="57"/>
        <v>32</v>
      </c>
      <c r="L546" s="109" t="str">
        <f t="shared" si="58"/>
        <v>OK</v>
      </c>
      <c r="M546" s="107" t="s">
        <v>812</v>
      </c>
      <c r="N546" s="124"/>
      <c r="O546" s="124"/>
      <c r="P546" s="124"/>
      <c r="Q546" s="124"/>
      <c r="R546" s="124"/>
      <c r="S546" s="124"/>
      <c r="T546" s="124"/>
    </row>
    <row r="547" spans="1:20" s="210" customFormat="1" ht="14.25">
      <c r="A547" s="260" t="s">
        <v>333</v>
      </c>
      <c r="B547" s="263" t="s">
        <v>814</v>
      </c>
      <c r="C547" s="263" t="s">
        <v>1344</v>
      </c>
      <c r="D547" s="110" t="s">
        <v>1197</v>
      </c>
      <c r="E547" s="127"/>
      <c r="F547" s="154" t="str">
        <f t="shared" si="56"/>
        <v>U26</v>
      </c>
      <c r="G547" s="188" t="str">
        <f t="shared" si="59"/>
        <v>今井順子</v>
      </c>
      <c r="H547" s="110" t="s">
        <v>776</v>
      </c>
      <c r="I547" s="112" t="s">
        <v>1215</v>
      </c>
      <c r="J547" s="131">
        <v>1958</v>
      </c>
      <c r="K547" s="230">
        <f t="shared" si="57"/>
        <v>58</v>
      </c>
      <c r="L547" s="109" t="str">
        <f t="shared" si="58"/>
        <v>OK</v>
      </c>
      <c r="M547" s="145" t="s">
        <v>830</v>
      </c>
      <c r="N547" s="124"/>
      <c r="O547" s="124"/>
      <c r="P547" s="136"/>
      <c r="Q547" s="124"/>
      <c r="R547" s="124"/>
      <c r="S547" s="124"/>
      <c r="T547" s="124"/>
    </row>
    <row r="548" spans="1:14" s="210" customFormat="1" ht="13.5">
      <c r="A548" s="260" t="s">
        <v>334</v>
      </c>
      <c r="B548" s="178" t="s">
        <v>1316</v>
      </c>
      <c r="C548" s="179" t="s">
        <v>1317</v>
      </c>
      <c r="D548" s="110" t="s">
        <v>1197</v>
      </c>
      <c r="E548" s="180"/>
      <c r="F548" s="154" t="str">
        <f t="shared" si="56"/>
        <v>U27</v>
      </c>
      <c r="G548" s="188" t="str">
        <f t="shared" si="59"/>
        <v>植垣貴美子</v>
      </c>
      <c r="H548" s="110" t="s">
        <v>776</v>
      </c>
      <c r="I548" s="112" t="s">
        <v>1215</v>
      </c>
      <c r="J548" s="181">
        <v>1965</v>
      </c>
      <c r="K548" s="230">
        <f t="shared" si="57"/>
        <v>51</v>
      </c>
      <c r="L548" s="109" t="str">
        <f t="shared" si="58"/>
        <v>OK</v>
      </c>
      <c r="M548" s="182" t="s">
        <v>1322</v>
      </c>
      <c r="N548" s="257"/>
    </row>
    <row r="549" spans="1:14" s="210" customFormat="1" ht="13.5">
      <c r="A549" s="260" t="s">
        <v>335</v>
      </c>
      <c r="B549" s="178" t="s">
        <v>1237</v>
      </c>
      <c r="C549" s="179" t="s">
        <v>574</v>
      </c>
      <c r="D549" s="110" t="s">
        <v>1197</v>
      </c>
      <c r="E549" s="181" t="s">
        <v>336</v>
      </c>
      <c r="F549" s="154" t="str">
        <f t="shared" si="56"/>
        <v>U28</v>
      </c>
      <c r="G549" s="107" t="str">
        <f t="shared" si="59"/>
        <v>片岡 聖</v>
      </c>
      <c r="H549" s="110" t="s">
        <v>776</v>
      </c>
      <c r="I549" s="112" t="s">
        <v>1215</v>
      </c>
      <c r="J549" s="181">
        <v>2002</v>
      </c>
      <c r="K549" s="230">
        <f t="shared" si="57"/>
        <v>14</v>
      </c>
      <c r="L549" s="109" t="str">
        <f t="shared" si="58"/>
        <v>OK</v>
      </c>
      <c r="M549" s="182" t="s">
        <v>826</v>
      </c>
      <c r="N549" s="257"/>
    </row>
    <row r="550" spans="1:14" s="210" customFormat="1" ht="14.25">
      <c r="A550" s="260" t="s">
        <v>337</v>
      </c>
      <c r="B550" s="132" t="s">
        <v>790</v>
      </c>
      <c r="C550" s="132" t="s">
        <v>779</v>
      </c>
      <c r="D550" s="110" t="s">
        <v>1197</v>
      </c>
      <c r="E550" s="153"/>
      <c r="F550" s="154" t="str">
        <f t="shared" si="56"/>
        <v>U29</v>
      </c>
      <c r="G550" s="188" t="str">
        <f t="shared" si="59"/>
        <v>鹿取あつみ</v>
      </c>
      <c r="H550" s="110" t="s">
        <v>776</v>
      </c>
      <c r="I550" s="112" t="s">
        <v>1215</v>
      </c>
      <c r="J550" s="131">
        <v>1963</v>
      </c>
      <c r="K550" s="230">
        <f t="shared" si="57"/>
        <v>53</v>
      </c>
      <c r="L550" s="109" t="str">
        <f t="shared" si="58"/>
        <v>OK</v>
      </c>
      <c r="M550" s="140" t="s">
        <v>1319</v>
      </c>
      <c r="N550" s="257"/>
    </row>
    <row r="551" spans="1:20" s="124" customFormat="1" ht="13.5">
      <c r="A551" s="260" t="s">
        <v>338</v>
      </c>
      <c r="B551" s="233" t="s">
        <v>575</v>
      </c>
      <c r="C551" s="264" t="s">
        <v>576</v>
      </c>
      <c r="D551" s="110" t="s">
        <v>1197</v>
      </c>
      <c r="E551" s="188"/>
      <c r="F551" s="154" t="str">
        <f t="shared" si="56"/>
        <v>U30</v>
      </c>
      <c r="G551" s="188" t="s">
        <v>577</v>
      </c>
      <c r="H551" s="110" t="s">
        <v>776</v>
      </c>
      <c r="I551" s="272" t="s">
        <v>1409</v>
      </c>
      <c r="J551" s="190">
        <v>1965</v>
      </c>
      <c r="K551" s="230">
        <f t="shared" si="57"/>
        <v>51</v>
      </c>
      <c r="L551" s="109" t="str">
        <f t="shared" si="58"/>
        <v>OK</v>
      </c>
      <c r="M551" s="140" t="s">
        <v>823</v>
      </c>
      <c r="N551" s="257"/>
      <c r="O551" s="210"/>
      <c r="P551" s="210"/>
      <c r="Q551" s="210"/>
      <c r="R551" s="210"/>
      <c r="S551" s="210"/>
      <c r="T551" s="210"/>
    </row>
    <row r="552" spans="1:13" s="210" customFormat="1" ht="13.5">
      <c r="A552" s="260" t="s">
        <v>339</v>
      </c>
      <c r="B552" s="263" t="s">
        <v>815</v>
      </c>
      <c r="C552" s="263" t="s">
        <v>816</v>
      </c>
      <c r="D552" s="110" t="s">
        <v>1197</v>
      </c>
      <c r="E552" s="127"/>
      <c r="F552" s="154" t="str">
        <f t="shared" si="56"/>
        <v>U31</v>
      </c>
      <c r="G552" s="188" t="str">
        <f>B552&amp;C552</f>
        <v>川崎悦子</v>
      </c>
      <c r="H552" s="110" t="s">
        <v>776</v>
      </c>
      <c r="I552" s="112" t="s">
        <v>1215</v>
      </c>
      <c r="J552" s="173">
        <v>1955</v>
      </c>
      <c r="K552" s="230">
        <f t="shared" si="57"/>
        <v>61</v>
      </c>
      <c r="L552" s="109" t="str">
        <f t="shared" si="58"/>
        <v>OK</v>
      </c>
      <c r="M552" s="140" t="s">
        <v>827</v>
      </c>
    </row>
    <row r="553" spans="1:14" s="210" customFormat="1" ht="14.25">
      <c r="A553" s="260" t="s">
        <v>340</v>
      </c>
      <c r="B553" s="132" t="s">
        <v>1247</v>
      </c>
      <c r="C553" s="132" t="s">
        <v>1198</v>
      </c>
      <c r="D553" s="110" t="s">
        <v>1197</v>
      </c>
      <c r="E553" s="127"/>
      <c r="F553" s="154" t="str">
        <f t="shared" si="56"/>
        <v>U32</v>
      </c>
      <c r="G553" s="188" t="str">
        <f>B553&amp;C553</f>
        <v>古株淳子</v>
      </c>
      <c r="H553" s="110" t="s">
        <v>776</v>
      </c>
      <c r="I553" s="112" t="s">
        <v>1215</v>
      </c>
      <c r="J553" s="130">
        <v>1968</v>
      </c>
      <c r="K553" s="230">
        <f t="shared" si="57"/>
        <v>48</v>
      </c>
      <c r="L553" s="109" t="str">
        <f t="shared" si="58"/>
        <v>OK</v>
      </c>
      <c r="M553" s="140" t="s">
        <v>825</v>
      </c>
      <c r="N553" s="257"/>
    </row>
    <row r="554" spans="1:14" s="210" customFormat="1" ht="13.5">
      <c r="A554" s="260" t="s">
        <v>341</v>
      </c>
      <c r="B554" s="113" t="s">
        <v>1483</v>
      </c>
      <c r="C554" s="113" t="s">
        <v>1424</v>
      </c>
      <c r="D554" s="110" t="s">
        <v>1197</v>
      </c>
      <c r="E554" s="107"/>
      <c r="F554" s="109" t="str">
        <f t="shared" si="56"/>
        <v>U33</v>
      </c>
      <c r="G554" s="107" t="str">
        <f>B554&amp;C554</f>
        <v>辻 佳子</v>
      </c>
      <c r="H554" s="110" t="s">
        <v>776</v>
      </c>
      <c r="I554" s="114" t="s">
        <v>1409</v>
      </c>
      <c r="J554" s="155">
        <v>1973</v>
      </c>
      <c r="K554" s="230">
        <f t="shared" si="57"/>
        <v>43</v>
      </c>
      <c r="L554" s="109" t="str">
        <f aca="true" t="shared" si="60" ref="L554:L570">IF(G554="","",IF(COUNTIF($G$24:$G$617,G554)&gt;1,"2重登録","OK"))</f>
        <v>OK</v>
      </c>
      <c r="M554" s="107" t="s">
        <v>827</v>
      </c>
      <c r="N554" s="257"/>
    </row>
    <row r="555" spans="1:20" s="210" customFormat="1" ht="14.25">
      <c r="A555" s="260" t="s">
        <v>342</v>
      </c>
      <c r="B555" s="132" t="s">
        <v>678</v>
      </c>
      <c r="C555" s="132" t="s">
        <v>679</v>
      </c>
      <c r="D555" s="110" t="s">
        <v>1197</v>
      </c>
      <c r="E555" s="127"/>
      <c r="F555" s="154" t="str">
        <f t="shared" si="56"/>
        <v>U34</v>
      </c>
      <c r="G555" s="107" t="str">
        <f>B555&amp;C555</f>
        <v>西崎友香</v>
      </c>
      <c r="H555" s="110" t="s">
        <v>776</v>
      </c>
      <c r="I555" s="112" t="s">
        <v>1215</v>
      </c>
      <c r="J555" s="130">
        <v>1980</v>
      </c>
      <c r="K555" s="230">
        <f t="shared" si="57"/>
        <v>36</v>
      </c>
      <c r="L555" s="109" t="str">
        <f t="shared" si="60"/>
        <v>OK</v>
      </c>
      <c r="M555" s="140" t="s">
        <v>827</v>
      </c>
      <c r="N555" s="124"/>
      <c r="O555" s="124"/>
      <c r="P555" s="124"/>
      <c r="Q555" s="124"/>
      <c r="R555" s="124"/>
      <c r="S555" s="124"/>
      <c r="T555" s="124"/>
    </row>
    <row r="556" spans="1:14" s="210" customFormat="1" ht="13.5">
      <c r="A556" s="260" t="s">
        <v>343</v>
      </c>
      <c r="B556" s="233" t="s">
        <v>569</v>
      </c>
      <c r="C556" s="264" t="s">
        <v>656</v>
      </c>
      <c r="D556" s="110" t="s">
        <v>1197</v>
      </c>
      <c r="E556" s="188"/>
      <c r="F556" s="154" t="str">
        <f t="shared" si="56"/>
        <v>U35</v>
      </c>
      <c r="G556" s="188" t="s">
        <v>578</v>
      </c>
      <c r="H556" s="110" t="s">
        <v>776</v>
      </c>
      <c r="I556" s="272" t="s">
        <v>1409</v>
      </c>
      <c r="J556" s="190">
        <v>1969</v>
      </c>
      <c r="K556" s="230">
        <f t="shared" si="57"/>
        <v>47</v>
      </c>
      <c r="L556" s="109" t="str">
        <f t="shared" si="60"/>
        <v>OK</v>
      </c>
      <c r="M556" s="140" t="s">
        <v>826</v>
      </c>
      <c r="N556" s="257"/>
    </row>
    <row r="557" spans="1:13" s="210" customFormat="1" ht="14.25">
      <c r="A557" s="260" t="s">
        <v>344</v>
      </c>
      <c r="B557" s="132" t="s">
        <v>786</v>
      </c>
      <c r="C557" s="132" t="s">
        <v>787</v>
      </c>
      <c r="D557" s="110" t="s">
        <v>1197</v>
      </c>
      <c r="E557" s="127"/>
      <c r="F557" s="154" t="str">
        <f t="shared" si="56"/>
        <v>U36</v>
      </c>
      <c r="G557" s="188" t="str">
        <f aca="true" t="shared" si="61" ref="G557:G567">B557&amp;C557</f>
        <v>村井典子</v>
      </c>
      <c r="H557" s="110" t="s">
        <v>776</v>
      </c>
      <c r="I557" s="112" t="s">
        <v>1215</v>
      </c>
      <c r="J557" s="131">
        <v>1968</v>
      </c>
      <c r="K557" s="230">
        <f t="shared" si="57"/>
        <v>48</v>
      </c>
      <c r="L557" s="109" t="str">
        <f t="shared" si="60"/>
        <v>OK</v>
      </c>
      <c r="M557" s="140" t="s">
        <v>825</v>
      </c>
    </row>
    <row r="558" spans="1:14" s="210" customFormat="1" ht="14.25">
      <c r="A558" s="260" t="s">
        <v>345</v>
      </c>
      <c r="B558" s="132" t="s">
        <v>817</v>
      </c>
      <c r="C558" s="132" t="s">
        <v>1298</v>
      </c>
      <c r="D558" s="110" t="s">
        <v>1197</v>
      </c>
      <c r="E558" s="127"/>
      <c r="F558" s="154" t="str">
        <f t="shared" si="56"/>
        <v>U37</v>
      </c>
      <c r="G558" s="188" t="str">
        <f t="shared" si="61"/>
        <v>矢野由美子</v>
      </c>
      <c r="H558" s="110" t="s">
        <v>776</v>
      </c>
      <c r="I558" s="112" t="s">
        <v>1215</v>
      </c>
      <c r="J558" s="131">
        <v>1963</v>
      </c>
      <c r="K558" s="230">
        <f t="shared" si="57"/>
        <v>53</v>
      </c>
      <c r="L558" s="109" t="str">
        <f t="shared" si="60"/>
        <v>OK</v>
      </c>
      <c r="M558" s="140" t="s">
        <v>818</v>
      </c>
      <c r="N558" s="257"/>
    </row>
    <row r="559" spans="1:14" s="210" customFormat="1" ht="13.5">
      <c r="A559" s="260" t="s">
        <v>346</v>
      </c>
      <c r="B559" s="112" t="s">
        <v>579</v>
      </c>
      <c r="C559" s="112" t="s">
        <v>699</v>
      </c>
      <c r="D559" s="110" t="s">
        <v>1197</v>
      </c>
      <c r="E559" s="107"/>
      <c r="F559" s="109" t="str">
        <f t="shared" si="56"/>
        <v>U38</v>
      </c>
      <c r="G559" s="107" t="str">
        <f t="shared" si="61"/>
        <v>竹下光代</v>
      </c>
      <c r="H559" s="110" t="s">
        <v>776</v>
      </c>
      <c r="I559" s="114" t="s">
        <v>1409</v>
      </c>
      <c r="J559" s="155">
        <v>1974</v>
      </c>
      <c r="K559" s="230">
        <f t="shared" si="57"/>
        <v>42</v>
      </c>
      <c r="L559" s="109" t="str">
        <f t="shared" si="60"/>
        <v>OK</v>
      </c>
      <c r="M559" s="113" t="s">
        <v>830</v>
      </c>
      <c r="N559" s="257"/>
    </row>
    <row r="560" spans="1:20" s="210" customFormat="1" ht="13.5">
      <c r="A560" s="260" t="s">
        <v>347</v>
      </c>
      <c r="B560" s="151" t="s">
        <v>580</v>
      </c>
      <c r="C560" s="188" t="s">
        <v>581</v>
      </c>
      <c r="D560" s="110" t="s">
        <v>1197</v>
      </c>
      <c r="E560" s="188"/>
      <c r="F560" s="109" t="str">
        <f t="shared" si="56"/>
        <v>U39</v>
      </c>
      <c r="G560" s="188" t="str">
        <f t="shared" si="61"/>
        <v>野上亮平</v>
      </c>
      <c r="H560" s="110" t="s">
        <v>776</v>
      </c>
      <c r="I560" s="188" t="s">
        <v>1214</v>
      </c>
      <c r="J560" s="190">
        <v>1986</v>
      </c>
      <c r="K560" s="230">
        <f t="shared" si="57"/>
        <v>30</v>
      </c>
      <c r="L560" s="109" t="str">
        <f t="shared" si="60"/>
        <v>OK</v>
      </c>
      <c r="M560" s="140" t="s">
        <v>1320</v>
      </c>
      <c r="N560" s="124"/>
      <c r="O560" s="124"/>
      <c r="P560" s="124"/>
      <c r="Q560" s="124"/>
      <c r="R560" s="124"/>
      <c r="S560" s="124"/>
      <c r="T560" s="124"/>
    </row>
    <row r="561" spans="1:13" s="188" customFormat="1" ht="13.5">
      <c r="A561" s="260" t="s">
        <v>348</v>
      </c>
      <c r="B561" s="188" t="s">
        <v>582</v>
      </c>
      <c r="C561" s="188" t="s">
        <v>583</v>
      </c>
      <c r="D561" s="110" t="s">
        <v>1197</v>
      </c>
      <c r="F561" s="154" t="str">
        <f t="shared" si="56"/>
        <v>U40</v>
      </c>
      <c r="G561" s="107" t="str">
        <f t="shared" si="61"/>
        <v>神田圭右</v>
      </c>
      <c r="H561" s="110" t="s">
        <v>776</v>
      </c>
      <c r="I561" s="188" t="s">
        <v>1214</v>
      </c>
      <c r="J561" s="190">
        <v>1991</v>
      </c>
      <c r="K561" s="230">
        <f t="shared" si="57"/>
        <v>25</v>
      </c>
      <c r="L561" s="109" t="str">
        <f t="shared" si="60"/>
        <v>OK</v>
      </c>
      <c r="M561" s="140" t="s">
        <v>584</v>
      </c>
    </row>
    <row r="562" spans="1:13" s="188" customFormat="1" ht="13.5">
      <c r="A562" s="260" t="s">
        <v>349</v>
      </c>
      <c r="B562" s="232" t="s">
        <v>585</v>
      </c>
      <c r="C562" s="232" t="s">
        <v>586</v>
      </c>
      <c r="D562" s="110" t="s">
        <v>1197</v>
      </c>
      <c r="F562" s="154" t="str">
        <f t="shared" si="56"/>
        <v>U41</v>
      </c>
      <c r="G562" s="188" t="str">
        <f t="shared" si="61"/>
        <v>山脇慶子</v>
      </c>
      <c r="H562" s="110" t="s">
        <v>776</v>
      </c>
      <c r="I562" s="272" t="s">
        <v>1409</v>
      </c>
      <c r="J562" s="190">
        <v>1986</v>
      </c>
      <c r="K562" s="230">
        <f t="shared" si="57"/>
        <v>30</v>
      </c>
      <c r="L562" s="109" t="str">
        <f t="shared" si="60"/>
        <v>OK</v>
      </c>
      <c r="M562" s="140" t="s">
        <v>1319</v>
      </c>
    </row>
    <row r="563" spans="1:14" s="210" customFormat="1" ht="14.25">
      <c r="A563" s="260" t="s">
        <v>350</v>
      </c>
      <c r="B563" s="128" t="s">
        <v>444</v>
      </c>
      <c r="C563" s="128" t="s">
        <v>445</v>
      </c>
      <c r="D563" s="110" t="s">
        <v>1197</v>
      </c>
      <c r="E563" s="127"/>
      <c r="F563" s="154" t="str">
        <f t="shared" si="56"/>
        <v>U42</v>
      </c>
      <c r="G563" s="188" t="str">
        <f t="shared" si="61"/>
        <v>亀井雅嗣</v>
      </c>
      <c r="H563" s="110" t="s">
        <v>776</v>
      </c>
      <c r="I563" s="110" t="s">
        <v>1214</v>
      </c>
      <c r="J563" s="131">
        <v>1970</v>
      </c>
      <c r="K563" s="230">
        <f t="shared" si="57"/>
        <v>46</v>
      </c>
      <c r="L563" s="109" t="str">
        <f t="shared" si="60"/>
        <v>OK</v>
      </c>
      <c r="M563" s="140" t="s">
        <v>825</v>
      </c>
      <c r="N563" s="257"/>
    </row>
    <row r="564" spans="1:14" s="210" customFormat="1" ht="14.25">
      <c r="A564" s="260" t="s">
        <v>351</v>
      </c>
      <c r="B564" s="128" t="s">
        <v>444</v>
      </c>
      <c r="C564" s="128" t="s">
        <v>446</v>
      </c>
      <c r="D564" s="110" t="s">
        <v>1197</v>
      </c>
      <c r="E564" s="127" t="s">
        <v>447</v>
      </c>
      <c r="F564" s="154" t="str">
        <f t="shared" si="56"/>
        <v>U43</v>
      </c>
      <c r="G564" s="188" t="str">
        <f t="shared" si="61"/>
        <v>亀井皓太</v>
      </c>
      <c r="H564" s="110" t="s">
        <v>776</v>
      </c>
      <c r="I564" s="110" t="s">
        <v>1214</v>
      </c>
      <c r="J564" s="131">
        <v>2003</v>
      </c>
      <c r="K564" s="230">
        <f t="shared" si="57"/>
        <v>13</v>
      </c>
      <c r="L564" s="109" t="str">
        <f t="shared" si="60"/>
        <v>OK</v>
      </c>
      <c r="M564" s="140" t="s">
        <v>825</v>
      </c>
      <c r="N564" s="257"/>
    </row>
    <row r="565" spans="1:20" s="124" customFormat="1" ht="14.25">
      <c r="A565" s="260" t="s">
        <v>352</v>
      </c>
      <c r="B565" s="128" t="s">
        <v>1245</v>
      </c>
      <c r="C565" s="128" t="s">
        <v>448</v>
      </c>
      <c r="D565" s="110" t="s">
        <v>1197</v>
      </c>
      <c r="E565" s="127"/>
      <c r="F565" s="154" t="str">
        <f t="shared" si="56"/>
        <v>U44</v>
      </c>
      <c r="G565" s="188" t="str">
        <f t="shared" si="61"/>
        <v>山本浩之</v>
      </c>
      <c r="H565" s="110" t="s">
        <v>776</v>
      </c>
      <c r="I565" s="110" t="s">
        <v>1214</v>
      </c>
      <c r="J565" s="130">
        <v>1967</v>
      </c>
      <c r="K565" s="230">
        <f t="shared" si="57"/>
        <v>49</v>
      </c>
      <c r="L565" s="109" t="str">
        <f t="shared" si="60"/>
        <v>OK</v>
      </c>
      <c r="M565" s="140" t="s">
        <v>829</v>
      </c>
      <c r="N565" s="257"/>
      <c r="O565" s="210"/>
      <c r="P565" s="210"/>
      <c r="Q565" s="210"/>
      <c r="R565" s="210"/>
      <c r="S565" s="210"/>
      <c r="T565" s="210"/>
    </row>
    <row r="566" spans="1:20" s="124" customFormat="1" ht="14.25">
      <c r="A566" s="260" t="s">
        <v>353</v>
      </c>
      <c r="B566" s="233" t="s">
        <v>449</v>
      </c>
      <c r="C566" s="233" t="s">
        <v>450</v>
      </c>
      <c r="D566" s="110" t="s">
        <v>1197</v>
      </c>
      <c r="E566" s="127"/>
      <c r="F566" s="154" t="str">
        <f t="shared" si="56"/>
        <v>U45</v>
      </c>
      <c r="G566" s="188" t="str">
        <f t="shared" si="61"/>
        <v>仙波敬子</v>
      </c>
      <c r="H566" s="110" t="s">
        <v>776</v>
      </c>
      <c r="I566" s="112" t="s">
        <v>1215</v>
      </c>
      <c r="J566" s="130">
        <v>1967</v>
      </c>
      <c r="K566" s="230">
        <f t="shared" si="57"/>
        <v>49</v>
      </c>
      <c r="L566" s="109" t="str">
        <f t="shared" si="60"/>
        <v>OK</v>
      </c>
      <c r="M566" s="140" t="s">
        <v>451</v>
      </c>
      <c r="N566" s="257"/>
      <c r="O566" s="210"/>
      <c r="P566" s="210"/>
      <c r="Q566" s="210"/>
      <c r="R566" s="210"/>
      <c r="S566" s="210"/>
      <c r="T566" s="210"/>
    </row>
    <row r="567" spans="1:13" s="284" customFormat="1" ht="13.5">
      <c r="A567" s="260" t="s">
        <v>354</v>
      </c>
      <c r="B567" s="128" t="s">
        <v>355</v>
      </c>
      <c r="C567" s="128" t="s">
        <v>356</v>
      </c>
      <c r="D567" s="283" t="s">
        <v>1197</v>
      </c>
      <c r="F567" s="285" t="str">
        <f>A567</f>
        <v>U46</v>
      </c>
      <c r="G567" s="284" t="str">
        <f t="shared" si="61"/>
        <v>新井雄己</v>
      </c>
      <c r="H567" s="283" t="s">
        <v>776</v>
      </c>
      <c r="I567" s="283" t="s">
        <v>357</v>
      </c>
      <c r="J567" s="284">
        <v>1990</v>
      </c>
      <c r="K567" s="140">
        <f t="shared" si="57"/>
        <v>26</v>
      </c>
      <c r="L567" s="109" t="str">
        <f t="shared" si="60"/>
        <v>OK</v>
      </c>
      <c r="M567" s="114" t="s">
        <v>830</v>
      </c>
    </row>
    <row r="568" spans="1:13" s="210" customFormat="1" ht="13.5">
      <c r="A568" s="260" t="s">
        <v>358</v>
      </c>
      <c r="B568" s="188" t="s">
        <v>359</v>
      </c>
      <c r="C568" s="188" t="s">
        <v>360</v>
      </c>
      <c r="D568" s="110" t="s">
        <v>1197</v>
      </c>
      <c r="E568" s="188"/>
      <c r="F568" s="154" t="str">
        <f>A568</f>
        <v>U47</v>
      </c>
      <c r="G568" s="188" t="s">
        <v>361</v>
      </c>
      <c r="H568" s="110" t="s">
        <v>776</v>
      </c>
      <c r="I568" s="110" t="s">
        <v>362</v>
      </c>
      <c r="J568" s="190">
        <v>1962</v>
      </c>
      <c r="K568" s="230">
        <f t="shared" si="57"/>
        <v>54</v>
      </c>
      <c r="L568" s="109" t="str">
        <f t="shared" si="60"/>
        <v>OK</v>
      </c>
      <c r="M568" s="182" t="s">
        <v>826</v>
      </c>
    </row>
    <row r="569" spans="1:13" s="210" customFormat="1" ht="13.5">
      <c r="A569" s="260" t="s">
        <v>363</v>
      </c>
      <c r="B569" s="128" t="s">
        <v>364</v>
      </c>
      <c r="C569" s="128" t="s">
        <v>365</v>
      </c>
      <c r="D569" s="110" t="s">
        <v>1197</v>
      </c>
      <c r="E569" s="188"/>
      <c r="F569" s="154" t="str">
        <f>A569</f>
        <v>U48</v>
      </c>
      <c r="G569" s="188" t="s">
        <v>366</v>
      </c>
      <c r="H569" s="110" t="s">
        <v>776</v>
      </c>
      <c r="I569" s="110" t="s">
        <v>367</v>
      </c>
      <c r="J569" s="190">
        <v>1991</v>
      </c>
      <c r="K569" s="230">
        <f t="shared" si="57"/>
        <v>25</v>
      </c>
      <c r="L569" s="109" t="str">
        <f t="shared" si="60"/>
        <v>OK</v>
      </c>
      <c r="M569" s="232" t="s">
        <v>596</v>
      </c>
    </row>
    <row r="570" spans="1:13" s="210" customFormat="1" ht="13.5">
      <c r="A570" s="260" t="s">
        <v>368</v>
      </c>
      <c r="B570" s="128" t="s">
        <v>369</v>
      </c>
      <c r="C570" s="128" t="s">
        <v>370</v>
      </c>
      <c r="D570" s="110" t="s">
        <v>1197</v>
      </c>
      <c r="E570" s="188"/>
      <c r="F570" s="154" t="str">
        <f>A570</f>
        <v>U49</v>
      </c>
      <c r="G570" s="188" t="s">
        <v>371</v>
      </c>
      <c r="H570" s="110" t="s">
        <v>776</v>
      </c>
      <c r="I570" s="110" t="s">
        <v>372</v>
      </c>
      <c r="J570" s="190">
        <v>1993</v>
      </c>
      <c r="K570" s="230">
        <f t="shared" si="57"/>
        <v>23</v>
      </c>
      <c r="L570" s="109" t="str">
        <f t="shared" si="60"/>
        <v>OK</v>
      </c>
      <c r="M570" s="232" t="s">
        <v>596</v>
      </c>
    </row>
    <row r="571" spans="1:13" s="188" customFormat="1" ht="13.5">
      <c r="A571" s="260" t="s">
        <v>373</v>
      </c>
      <c r="B571" s="233" t="s">
        <v>1243</v>
      </c>
      <c r="C571" s="233" t="s">
        <v>374</v>
      </c>
      <c r="D571" s="110" t="s">
        <v>375</v>
      </c>
      <c r="F571" s="154" t="str">
        <f>A571</f>
        <v>U50</v>
      </c>
      <c r="G571" s="188" t="s">
        <v>376</v>
      </c>
      <c r="H571" s="110" t="s">
        <v>776</v>
      </c>
      <c r="I571" s="110" t="s">
        <v>1409</v>
      </c>
      <c r="J571" s="190">
        <v>1966</v>
      </c>
      <c r="K571" s="230">
        <f t="shared" si="57"/>
        <v>50</v>
      </c>
      <c r="L571" s="154" t="s">
        <v>377</v>
      </c>
      <c r="M571" s="182" t="s">
        <v>826</v>
      </c>
    </row>
    <row r="572" spans="1:20" s="124" customFormat="1" ht="14.25">
      <c r="A572" s="260"/>
      <c r="B572" s="233" t="s">
        <v>378</v>
      </c>
      <c r="C572" s="233"/>
      <c r="D572" s="110"/>
      <c r="E572" s="127"/>
      <c r="F572" s="154"/>
      <c r="G572" s="188"/>
      <c r="H572" s="110"/>
      <c r="I572" s="110"/>
      <c r="J572" s="130"/>
      <c r="K572" s="230"/>
      <c r="L572" s="154"/>
      <c r="M572" s="140"/>
      <c r="N572" s="257"/>
      <c r="O572" s="210"/>
      <c r="P572" s="210"/>
      <c r="Q572" s="210"/>
      <c r="R572" s="210"/>
      <c r="S572" s="210"/>
      <c r="T572" s="210"/>
    </row>
    <row r="573" spans="1:20" s="124" customFormat="1" ht="14.25">
      <c r="A573" s="260"/>
      <c r="B573" s="233"/>
      <c r="C573" s="233"/>
      <c r="D573" s="110"/>
      <c r="E573" s="127"/>
      <c r="F573" s="154"/>
      <c r="G573" s="188"/>
      <c r="H573" s="110"/>
      <c r="I573" s="110"/>
      <c r="J573" s="130"/>
      <c r="K573" s="230"/>
      <c r="L573" s="154"/>
      <c r="M573" s="140"/>
      <c r="N573" s="257"/>
      <c r="O573" s="210"/>
      <c r="P573" s="210"/>
      <c r="Q573" s="210"/>
      <c r="R573" s="210"/>
      <c r="S573" s="210"/>
      <c r="T573" s="210"/>
    </row>
    <row r="574" spans="1:20" s="124" customFormat="1" ht="14.25">
      <c r="A574" s="260"/>
      <c r="B574" s="233"/>
      <c r="C574" s="233"/>
      <c r="D574" s="110"/>
      <c r="E574" s="127"/>
      <c r="F574" s="154"/>
      <c r="G574" s="188"/>
      <c r="H574" s="110"/>
      <c r="I574" s="110"/>
      <c r="J574" s="130"/>
      <c r="K574" s="230"/>
      <c r="L574" s="154"/>
      <c r="M574" s="140"/>
      <c r="N574" s="257"/>
      <c r="O574" s="210"/>
      <c r="P574" s="210"/>
      <c r="Q574" s="210"/>
      <c r="R574" s="210"/>
      <c r="S574" s="210"/>
      <c r="T574" s="210"/>
    </row>
    <row r="575" spans="2:10" s="188" customFormat="1" ht="13.5">
      <c r="B575" s="665" t="s">
        <v>379</v>
      </c>
      <c r="C575" s="665"/>
      <c r="D575" s="662" t="s">
        <v>380</v>
      </c>
      <c r="E575" s="662"/>
      <c r="F575" s="662"/>
      <c r="G575" s="662"/>
      <c r="J575" s="190"/>
    </row>
    <row r="576" spans="2:10" s="188" customFormat="1" ht="13.5">
      <c r="B576" s="665"/>
      <c r="C576" s="665"/>
      <c r="D576" s="662"/>
      <c r="E576" s="662"/>
      <c r="F576" s="662"/>
      <c r="G576" s="662"/>
      <c r="J576" s="190"/>
    </row>
    <row r="577" spans="1:15" s="188" customFormat="1" ht="13.5">
      <c r="A577" s="110"/>
      <c r="B577" s="110" t="s">
        <v>381</v>
      </c>
      <c r="C577" s="110"/>
      <c r="D577" s="666" t="s">
        <v>1429</v>
      </c>
      <c r="E577" s="666"/>
      <c r="F577" s="154"/>
      <c r="G577" s="153" t="s">
        <v>784</v>
      </c>
      <c r="H577" s="153" t="s">
        <v>785</v>
      </c>
      <c r="I577" s="110"/>
      <c r="J577" s="273"/>
      <c r="K577" s="230"/>
      <c r="L577" s="154"/>
      <c r="M577" s="107"/>
      <c r="N577" s="153"/>
      <c r="O577" s="153"/>
    </row>
    <row r="578" spans="1:13" s="188" customFormat="1" ht="13.5">
      <c r="A578" s="110"/>
      <c r="B578" s="667" t="s">
        <v>382</v>
      </c>
      <c r="C578" s="667"/>
      <c r="D578" s="664" t="s">
        <v>1430</v>
      </c>
      <c r="E578" s="664"/>
      <c r="F578" s="154">
        <f>A578</f>
        <v>0</v>
      </c>
      <c r="G578" s="286">
        <v>0</v>
      </c>
      <c r="H578" s="287">
        <v>0</v>
      </c>
      <c r="I578" s="110"/>
      <c r="J578" s="273"/>
      <c r="K578" s="230"/>
      <c r="L578" s="154"/>
      <c r="M578" s="107"/>
    </row>
    <row r="579" spans="1:13" s="188" customFormat="1" ht="14.25">
      <c r="A579" s="260" t="s">
        <v>383</v>
      </c>
      <c r="B579" s="128" t="s">
        <v>384</v>
      </c>
      <c r="C579" s="128" t="s">
        <v>385</v>
      </c>
      <c r="D579" s="110" t="s">
        <v>386</v>
      </c>
      <c r="E579" s="127" t="s">
        <v>387</v>
      </c>
      <c r="F579" s="154" t="str">
        <f aca="true" t="shared" si="62" ref="F579:F588">A579</f>
        <v>W01</v>
      </c>
      <c r="G579" s="188" t="str">
        <f>B579&amp;C579</f>
        <v>森下皓太</v>
      </c>
      <c r="H579" s="110" t="s">
        <v>388</v>
      </c>
      <c r="I579" s="110" t="s">
        <v>1214</v>
      </c>
      <c r="J579" s="130">
        <v>2002</v>
      </c>
      <c r="K579" s="230">
        <f aca="true" t="shared" si="63" ref="K579:K588">2016-J579</f>
        <v>14</v>
      </c>
      <c r="L579" s="109" t="str">
        <f>IF(G579="","",IF(COUNTIF($G$3:$G$640,G579)&gt;1,"2重登録","OK"))</f>
        <v>OK</v>
      </c>
      <c r="M579" s="288" t="s">
        <v>1322</v>
      </c>
    </row>
    <row r="580" spans="1:13" s="188" customFormat="1" ht="14.25">
      <c r="A580" s="260" t="s">
        <v>389</v>
      </c>
      <c r="B580" s="128" t="s">
        <v>1334</v>
      </c>
      <c r="C580" s="128" t="s">
        <v>390</v>
      </c>
      <c r="D580" s="110" t="s">
        <v>386</v>
      </c>
      <c r="E580" s="127" t="s">
        <v>387</v>
      </c>
      <c r="F580" s="154" t="str">
        <f t="shared" si="62"/>
        <v>W02</v>
      </c>
      <c r="G580" s="188" t="str">
        <f>B580&amp;C580</f>
        <v>鈴木悠太</v>
      </c>
      <c r="H580" s="110" t="s">
        <v>388</v>
      </c>
      <c r="I580" s="110" t="s">
        <v>1214</v>
      </c>
      <c r="J580" s="130">
        <v>2000</v>
      </c>
      <c r="K580" s="230">
        <f t="shared" si="63"/>
        <v>16</v>
      </c>
      <c r="L580" s="109" t="str">
        <f aca="true" t="shared" si="64" ref="L580:L588">IF(G580="","",IF(COUNTIF($G$25:$G$691,G580)&gt;1,"2重登録","OK"))</f>
        <v>OK</v>
      </c>
      <c r="M580" s="288" t="s">
        <v>823</v>
      </c>
    </row>
    <row r="581" spans="1:13" s="188" customFormat="1" ht="13.5">
      <c r="A581" s="260" t="s">
        <v>391</v>
      </c>
      <c r="B581" s="153" t="s">
        <v>392</v>
      </c>
      <c r="C581" s="153" t="s">
        <v>393</v>
      </c>
      <c r="D581" s="110" t="s">
        <v>386</v>
      </c>
      <c r="E581" s="127" t="s">
        <v>387</v>
      </c>
      <c r="F581" s="154" t="str">
        <f t="shared" si="62"/>
        <v>W03</v>
      </c>
      <c r="G581" s="188" t="str">
        <f>B581&amp;C581</f>
        <v>大道拓実</v>
      </c>
      <c r="H581" s="110" t="s">
        <v>388</v>
      </c>
      <c r="I581" s="133" t="s">
        <v>1214</v>
      </c>
      <c r="J581" s="173">
        <v>1998</v>
      </c>
      <c r="K581" s="230">
        <f t="shared" si="63"/>
        <v>18</v>
      </c>
      <c r="L581" s="109" t="str">
        <f t="shared" si="64"/>
        <v>OK</v>
      </c>
      <c r="M581" s="288" t="s">
        <v>394</v>
      </c>
    </row>
    <row r="582" spans="1:13" s="188" customFormat="1" ht="13.5">
      <c r="A582" s="260" t="s">
        <v>395</v>
      </c>
      <c r="B582" s="151" t="s">
        <v>1334</v>
      </c>
      <c r="C582" s="188" t="s">
        <v>396</v>
      </c>
      <c r="D582" s="110" t="s">
        <v>386</v>
      </c>
      <c r="F582" s="154" t="str">
        <f t="shared" si="62"/>
        <v>W04</v>
      </c>
      <c r="G582" s="188" t="str">
        <f aca="true" t="shared" si="65" ref="G582:G588">B582&amp;C582</f>
        <v>鈴木正樹</v>
      </c>
      <c r="H582" s="110" t="s">
        <v>388</v>
      </c>
      <c r="I582" s="133" t="s">
        <v>821</v>
      </c>
      <c r="J582" s="190">
        <v>1967</v>
      </c>
      <c r="K582" s="230">
        <f t="shared" si="63"/>
        <v>49</v>
      </c>
      <c r="L582" s="109" t="str">
        <f t="shared" si="64"/>
        <v>OK</v>
      </c>
      <c r="M582" s="288" t="s">
        <v>823</v>
      </c>
    </row>
    <row r="583" spans="1:13" s="188" customFormat="1" ht="14.25">
      <c r="A583" s="260" t="s">
        <v>397</v>
      </c>
      <c r="B583" s="289" t="s">
        <v>398</v>
      </c>
      <c r="C583" s="289" t="s">
        <v>1280</v>
      </c>
      <c r="D583" s="110" t="s">
        <v>386</v>
      </c>
      <c r="E583" s="127"/>
      <c r="F583" s="154" t="str">
        <f t="shared" si="62"/>
        <v>W05</v>
      </c>
      <c r="G583" s="188" t="str">
        <f t="shared" si="65"/>
        <v>河室千春</v>
      </c>
      <c r="H583" s="110" t="s">
        <v>388</v>
      </c>
      <c r="I583" s="112" t="s">
        <v>399</v>
      </c>
      <c r="J583" s="130">
        <v>1979</v>
      </c>
      <c r="K583" s="230">
        <f t="shared" si="63"/>
        <v>37</v>
      </c>
      <c r="L583" s="109" t="str">
        <f t="shared" si="64"/>
        <v>OK</v>
      </c>
      <c r="M583" s="288" t="s">
        <v>802</v>
      </c>
    </row>
    <row r="584" spans="1:13" s="188" customFormat="1" ht="14.25">
      <c r="A584" s="260" t="s">
        <v>400</v>
      </c>
      <c r="B584" s="289" t="s">
        <v>401</v>
      </c>
      <c r="C584" s="289" t="s">
        <v>402</v>
      </c>
      <c r="D584" s="110" t="s">
        <v>403</v>
      </c>
      <c r="E584" s="127"/>
      <c r="F584" s="154" t="str">
        <f t="shared" si="62"/>
        <v>W06</v>
      </c>
      <c r="G584" s="188" t="str">
        <f t="shared" si="65"/>
        <v>梅景佐緒里</v>
      </c>
      <c r="H584" s="110" t="s">
        <v>388</v>
      </c>
      <c r="I584" s="112" t="s">
        <v>399</v>
      </c>
      <c r="J584" s="130">
        <v>1981</v>
      </c>
      <c r="K584" s="230">
        <f t="shared" si="63"/>
        <v>35</v>
      </c>
      <c r="L584" s="109" t="str">
        <f t="shared" si="64"/>
        <v>OK</v>
      </c>
      <c r="M584" s="288" t="s">
        <v>1356</v>
      </c>
    </row>
    <row r="585" spans="1:13" s="188" customFormat="1" ht="13.5">
      <c r="A585" s="260" t="s">
        <v>404</v>
      </c>
      <c r="B585" s="132" t="s">
        <v>1520</v>
      </c>
      <c r="C585" s="132" t="s">
        <v>405</v>
      </c>
      <c r="D585" s="110" t="s">
        <v>406</v>
      </c>
      <c r="E585" s="127" t="s">
        <v>1562</v>
      </c>
      <c r="F585" s="154" t="str">
        <f t="shared" si="62"/>
        <v>W07</v>
      </c>
      <c r="G585" s="188" t="str">
        <f t="shared" si="65"/>
        <v>岸本麗奈</v>
      </c>
      <c r="H585" s="110" t="s">
        <v>388</v>
      </c>
      <c r="I585" s="112" t="s">
        <v>399</v>
      </c>
      <c r="J585" s="190">
        <v>1999</v>
      </c>
      <c r="K585" s="230">
        <f t="shared" si="63"/>
        <v>17</v>
      </c>
      <c r="L585" s="109" t="str">
        <f t="shared" si="64"/>
        <v>OK</v>
      </c>
      <c r="M585" s="288" t="s">
        <v>823</v>
      </c>
    </row>
    <row r="586" spans="1:13" s="188" customFormat="1" ht="14.25">
      <c r="A586" s="260" t="s">
        <v>407</v>
      </c>
      <c r="B586" s="132" t="s">
        <v>1334</v>
      </c>
      <c r="C586" s="132" t="s">
        <v>408</v>
      </c>
      <c r="D586" s="110" t="s">
        <v>386</v>
      </c>
      <c r="E586" s="127" t="s">
        <v>387</v>
      </c>
      <c r="F586" s="154" t="str">
        <f t="shared" si="62"/>
        <v>W08</v>
      </c>
      <c r="G586" s="188" t="str">
        <f t="shared" si="65"/>
        <v>鈴木仁美</v>
      </c>
      <c r="H586" s="110" t="s">
        <v>388</v>
      </c>
      <c r="I586" s="112" t="s">
        <v>399</v>
      </c>
      <c r="J586" s="131">
        <v>2003</v>
      </c>
      <c r="K586" s="230">
        <f t="shared" si="63"/>
        <v>13</v>
      </c>
      <c r="L586" s="109" t="str">
        <f t="shared" si="64"/>
        <v>OK</v>
      </c>
      <c r="M586" s="288" t="s">
        <v>823</v>
      </c>
    </row>
    <row r="587" spans="1:13" s="188" customFormat="1" ht="13.5">
      <c r="A587" s="260" t="s">
        <v>409</v>
      </c>
      <c r="B587" s="132" t="s">
        <v>410</v>
      </c>
      <c r="C587" s="232" t="s">
        <v>411</v>
      </c>
      <c r="D587" s="110" t="s">
        <v>406</v>
      </c>
      <c r="E587" s="127" t="s">
        <v>1562</v>
      </c>
      <c r="F587" s="189" t="str">
        <f t="shared" si="62"/>
        <v>W09</v>
      </c>
      <c r="G587" s="188" t="str">
        <f t="shared" si="65"/>
        <v>堤里奈</v>
      </c>
      <c r="H587" s="110" t="s">
        <v>388</v>
      </c>
      <c r="I587" s="112" t="s">
        <v>399</v>
      </c>
      <c r="J587" s="190">
        <v>1999</v>
      </c>
      <c r="K587" s="230">
        <f t="shared" si="63"/>
        <v>17</v>
      </c>
      <c r="L587" s="109" t="str">
        <f t="shared" si="64"/>
        <v>OK</v>
      </c>
      <c r="M587" s="140" t="s">
        <v>827</v>
      </c>
    </row>
    <row r="588" spans="1:13" s="188" customFormat="1" ht="13.5">
      <c r="A588" s="260" t="s">
        <v>412</v>
      </c>
      <c r="B588" s="132" t="s">
        <v>413</v>
      </c>
      <c r="C588" s="132" t="s">
        <v>414</v>
      </c>
      <c r="D588" s="110" t="s">
        <v>386</v>
      </c>
      <c r="E588" s="127" t="s">
        <v>387</v>
      </c>
      <c r="F588" s="154" t="str">
        <f t="shared" si="62"/>
        <v>W10</v>
      </c>
      <c r="G588" s="188" t="str">
        <f t="shared" si="65"/>
        <v>小島千明</v>
      </c>
      <c r="H588" s="110" t="s">
        <v>388</v>
      </c>
      <c r="I588" s="112" t="s">
        <v>399</v>
      </c>
      <c r="J588" s="190">
        <v>1999</v>
      </c>
      <c r="K588" s="230">
        <f t="shared" si="63"/>
        <v>17</v>
      </c>
      <c r="L588" s="109" t="str">
        <f t="shared" si="64"/>
        <v>OK</v>
      </c>
      <c r="M588" s="107" t="s">
        <v>1322</v>
      </c>
    </row>
    <row r="589" spans="1:20" s="124" customFormat="1" ht="14.25">
      <c r="A589" s="260"/>
      <c r="B589" s="233"/>
      <c r="C589" s="233"/>
      <c r="D589" s="110"/>
      <c r="E589" s="127"/>
      <c r="F589" s="154"/>
      <c r="G589" s="188"/>
      <c r="H589" s="110"/>
      <c r="I589" s="110"/>
      <c r="J589" s="130"/>
      <c r="K589" s="230"/>
      <c r="L589" s="154"/>
      <c r="M589" s="140"/>
      <c r="N589" s="257"/>
      <c r="O589" s="210"/>
      <c r="P589" s="210"/>
      <c r="Q589" s="210"/>
      <c r="R589" s="210"/>
      <c r="S589" s="210"/>
      <c r="T589" s="210"/>
    </row>
    <row r="590" spans="1:20" s="124" customFormat="1" ht="14.25">
      <c r="A590" s="260"/>
      <c r="B590" s="233"/>
      <c r="C590" s="233"/>
      <c r="D590" s="110"/>
      <c r="E590" s="127"/>
      <c r="F590" s="154"/>
      <c r="G590" s="188"/>
      <c r="H590" s="110"/>
      <c r="I590" s="110"/>
      <c r="J590" s="130"/>
      <c r="K590" s="230"/>
      <c r="L590" s="154"/>
      <c r="M590" s="140"/>
      <c r="N590" s="257"/>
      <c r="O590" s="210"/>
      <c r="P590" s="210"/>
      <c r="Q590" s="210"/>
      <c r="R590" s="210"/>
      <c r="S590" s="210"/>
      <c r="T590" s="210"/>
    </row>
    <row r="591" spans="1:20" s="124" customFormat="1" ht="14.25">
      <c r="A591" s="260"/>
      <c r="B591" s="233" t="s">
        <v>415</v>
      </c>
      <c r="C591" s="233"/>
      <c r="D591" s="110"/>
      <c r="E591" s="127"/>
      <c r="F591" s="154"/>
      <c r="G591" s="188"/>
      <c r="H591" s="110"/>
      <c r="I591" s="110"/>
      <c r="J591" s="130"/>
      <c r="K591" s="230"/>
      <c r="L591" s="154"/>
      <c r="M591" s="140"/>
      <c r="N591" s="257"/>
      <c r="O591" s="210"/>
      <c r="P591" s="210"/>
      <c r="Q591" s="210"/>
      <c r="R591" s="210"/>
      <c r="S591" s="210"/>
      <c r="T591" s="210"/>
    </row>
    <row r="592" spans="1:20" s="124" customFormat="1" ht="14.25">
      <c r="A592" s="260"/>
      <c r="B592" s="233"/>
      <c r="C592" s="233"/>
      <c r="D592" s="110"/>
      <c r="E592" s="127"/>
      <c r="F592" s="154"/>
      <c r="G592" s="188"/>
      <c r="H592" s="110"/>
      <c r="I592" s="110"/>
      <c r="J592" s="130"/>
      <c r="K592" s="230"/>
      <c r="L592" s="154"/>
      <c r="M592" s="140"/>
      <c r="N592" s="257"/>
      <c r="O592" s="210"/>
      <c r="P592" s="210"/>
      <c r="Q592" s="210"/>
      <c r="R592" s="210"/>
      <c r="S592" s="210"/>
      <c r="T592" s="210"/>
    </row>
    <row r="593" spans="1:20" s="124" customFormat="1" ht="14.25">
      <c r="A593" s="260"/>
      <c r="B593" s="233"/>
      <c r="C593" s="233"/>
      <c r="D593" s="110"/>
      <c r="E593" s="127"/>
      <c r="F593" s="154"/>
      <c r="G593" s="188"/>
      <c r="H593" s="110"/>
      <c r="I593" s="110"/>
      <c r="J593" s="130"/>
      <c r="K593" s="230"/>
      <c r="L593" s="154"/>
      <c r="M593" s="140"/>
      <c r="N593" s="257"/>
      <c r="O593" s="210"/>
      <c r="P593" s="210"/>
      <c r="Q593" s="210"/>
      <c r="R593" s="210"/>
      <c r="S593" s="210"/>
      <c r="T593" s="210"/>
    </row>
    <row r="594" spans="1:20" s="124" customFormat="1" ht="14.25">
      <c r="A594" s="260"/>
      <c r="B594" s="233"/>
      <c r="C594" s="233"/>
      <c r="D594" s="110"/>
      <c r="E594" s="127"/>
      <c r="F594" s="154"/>
      <c r="G594" s="188"/>
      <c r="H594" s="110"/>
      <c r="I594" s="110"/>
      <c r="J594" s="130"/>
      <c r="K594" s="230"/>
      <c r="L594" s="154"/>
      <c r="M594" s="140"/>
      <c r="N594" s="257"/>
      <c r="O594" s="210"/>
      <c r="P594" s="210"/>
      <c r="Q594" s="210"/>
      <c r="R594" s="210"/>
      <c r="S594" s="210"/>
      <c r="T594" s="210"/>
    </row>
    <row r="595" spans="1:13" s="188" customFormat="1" ht="13.5">
      <c r="A595" s="152"/>
      <c r="B595" s="661" t="s">
        <v>587</v>
      </c>
      <c r="C595" s="661"/>
      <c r="D595" s="662" t="s">
        <v>588</v>
      </c>
      <c r="E595" s="663"/>
      <c r="F595" s="663"/>
      <c r="G595" s="663"/>
      <c r="H595" s="107" t="s">
        <v>784</v>
      </c>
      <c r="I595" s="658" t="s">
        <v>785</v>
      </c>
      <c r="J595" s="658"/>
      <c r="K595" s="658"/>
      <c r="L595" s="109">
        <f>IF(G595="","",IF(COUNTIF($G$24:$G$617,G595)&gt;1,"2重登録","OK"))</f>
      </c>
      <c r="M595" s="107"/>
    </row>
    <row r="596" spans="1:13" s="188" customFormat="1" ht="13.5">
      <c r="A596" s="107"/>
      <c r="B596" s="661"/>
      <c r="C596" s="661"/>
      <c r="D596" s="663"/>
      <c r="E596" s="663"/>
      <c r="F596" s="663"/>
      <c r="G596" s="663"/>
      <c r="H596" s="141">
        <f>COUNTIF(M599:M612,"東近江市")</f>
        <v>3</v>
      </c>
      <c r="I596" s="664">
        <f>(H596/RIGHT(A612,2))</f>
        <v>0.21428571428571427</v>
      </c>
      <c r="J596" s="664"/>
      <c r="K596" s="664"/>
      <c r="L596" s="109">
        <f>IF(G596="","",IF(COUNTIF($G$24:$G$617,G596)&gt;1,"2重登録","OK"))</f>
      </c>
      <c r="M596" s="107"/>
    </row>
    <row r="597" spans="2:12" ht="13.5">
      <c r="B597" s="108" t="s">
        <v>589</v>
      </c>
      <c r="C597" s="108"/>
      <c r="D597" s="155" t="s">
        <v>590</v>
      </c>
      <c r="F597" s="109">
        <f>A598</f>
        <v>0</v>
      </c>
      <c r="K597" s="119">
        <f>IF(J597="","",(2012-J597))</f>
      </c>
      <c r="L597" s="109">
        <f>IF(G597="","",IF(COUNTIF($G$24:$G$617,G597)&gt;1,"2重登録","OK"))</f>
      </c>
    </row>
    <row r="598" spans="2:12" ht="13.5">
      <c r="B598" s="654" t="s">
        <v>591</v>
      </c>
      <c r="C598" s="654"/>
      <c r="D598" s="107" t="s">
        <v>592</v>
      </c>
      <c r="F598" s="109"/>
      <c r="G598" s="107" t="str">
        <f aca="true" t="shared" si="66" ref="G598:G615">B598&amp;C598</f>
        <v>Mut(ムート）</v>
      </c>
      <c r="K598" s="119">
        <f>IF(J598="","",(2012-J598))</f>
      </c>
      <c r="L598" s="109"/>
    </row>
    <row r="599" spans="1:13" ht="13.5">
      <c r="A599" s="107" t="s">
        <v>593</v>
      </c>
      <c r="B599" s="113" t="s">
        <v>1483</v>
      </c>
      <c r="C599" s="113" t="s">
        <v>594</v>
      </c>
      <c r="D599" s="108" t="s">
        <v>595</v>
      </c>
      <c r="F599" s="109" t="str">
        <f aca="true" t="shared" si="67" ref="F599:F615">A599</f>
        <v>Y01</v>
      </c>
      <c r="G599" s="107" t="str">
        <f t="shared" si="66"/>
        <v>辻 真弓</v>
      </c>
      <c r="H599" s="108" t="s">
        <v>589</v>
      </c>
      <c r="I599" s="114" t="s">
        <v>1409</v>
      </c>
      <c r="J599" s="121">
        <v>1985</v>
      </c>
      <c r="K599" s="119">
        <f>IF(J599="","",(2016-J599))</f>
        <v>31</v>
      </c>
      <c r="L599" s="109" t="str">
        <f aca="true" t="shared" si="68" ref="L599:L608">IF(G599="","",IF(COUNTIF($G$24:$G$617,G599)&gt;1,"2重登録","OK"))</f>
        <v>OK</v>
      </c>
      <c r="M599" s="113" t="s">
        <v>596</v>
      </c>
    </row>
    <row r="600" spans="1:13" ht="13.5">
      <c r="A600" s="107" t="s">
        <v>597</v>
      </c>
      <c r="B600" s="113" t="s">
        <v>1232</v>
      </c>
      <c r="C600" s="113" t="s">
        <v>598</v>
      </c>
      <c r="D600" s="108" t="s">
        <v>416</v>
      </c>
      <c r="F600" s="107" t="str">
        <f t="shared" si="67"/>
        <v>Y02</v>
      </c>
      <c r="G600" s="107" t="str">
        <f t="shared" si="66"/>
        <v>吉田淳子</v>
      </c>
      <c r="H600" s="108" t="s">
        <v>589</v>
      </c>
      <c r="I600" s="114" t="s">
        <v>1409</v>
      </c>
      <c r="J600" s="118">
        <v>1966</v>
      </c>
      <c r="K600" s="119">
        <f>IF(J600="","",(2016-J600))</f>
        <v>50</v>
      </c>
      <c r="L600" s="109" t="str">
        <f t="shared" si="68"/>
        <v>OK</v>
      </c>
      <c r="M600" s="108" t="s">
        <v>826</v>
      </c>
    </row>
    <row r="601" spans="1:13" ht="13.5">
      <c r="A601" s="107" t="s">
        <v>417</v>
      </c>
      <c r="B601" s="108" t="s">
        <v>599</v>
      </c>
      <c r="C601" s="108" t="s">
        <v>600</v>
      </c>
      <c r="D601" s="108" t="s">
        <v>601</v>
      </c>
      <c r="F601" s="109" t="str">
        <f t="shared" si="67"/>
        <v>Y03</v>
      </c>
      <c r="G601" s="107" t="str">
        <f t="shared" si="66"/>
        <v>山口稔貴</v>
      </c>
      <c r="H601" s="108" t="s">
        <v>589</v>
      </c>
      <c r="I601" s="111" t="s">
        <v>1214</v>
      </c>
      <c r="J601" s="121">
        <v>1988</v>
      </c>
      <c r="K601" s="119">
        <f>IF(J601="","",(2016-J601))</f>
        <v>28</v>
      </c>
      <c r="L601" s="109" t="str">
        <f t="shared" si="68"/>
        <v>OK</v>
      </c>
      <c r="M601" s="108" t="s">
        <v>826</v>
      </c>
    </row>
    <row r="602" spans="1:13" ht="13.5">
      <c r="A602" s="107" t="s">
        <v>602</v>
      </c>
      <c r="B602" s="110" t="s">
        <v>603</v>
      </c>
      <c r="C602" s="110" t="s">
        <v>604</v>
      </c>
      <c r="D602" s="108" t="s">
        <v>418</v>
      </c>
      <c r="F602" s="109">
        <f>A620</f>
        <v>0</v>
      </c>
      <c r="G602" s="107">
        <f>B620&amp;C620</f>
      </c>
      <c r="H602" s="108" t="s">
        <v>589</v>
      </c>
      <c r="I602" s="111" t="s">
        <v>1214</v>
      </c>
      <c r="J602" s="121">
        <v>1988</v>
      </c>
      <c r="K602" s="119">
        <f>IF(J620="","",(2016-J620))</f>
      </c>
      <c r="L602" s="109">
        <f>IF(G620="","",IF(COUNTIF($G$24:$G$617,G620)&gt;1,"2重登録","OK"))</f>
      </c>
      <c r="M602" s="108" t="s">
        <v>826</v>
      </c>
    </row>
    <row r="603" spans="1:13" ht="13.5">
      <c r="A603" s="107" t="s">
        <v>605</v>
      </c>
      <c r="B603" s="108" t="s">
        <v>1549</v>
      </c>
      <c r="C603" s="108" t="s">
        <v>606</v>
      </c>
      <c r="D603" s="108" t="s">
        <v>607</v>
      </c>
      <c r="F603" s="109" t="str">
        <f t="shared" si="67"/>
        <v>Y05</v>
      </c>
      <c r="G603" s="107" t="str">
        <f t="shared" si="66"/>
        <v>岡本悟志</v>
      </c>
      <c r="H603" s="108" t="s">
        <v>589</v>
      </c>
      <c r="I603" s="111" t="s">
        <v>1214</v>
      </c>
      <c r="J603" s="121">
        <v>1988</v>
      </c>
      <c r="K603" s="119">
        <f>IF(J603="","",(2015-J603))</f>
        <v>27</v>
      </c>
      <c r="L603" s="109" t="str">
        <f t="shared" si="68"/>
        <v>OK</v>
      </c>
      <c r="M603" s="108" t="s">
        <v>829</v>
      </c>
    </row>
    <row r="604" spans="1:13" ht="13.5">
      <c r="A604" s="107" t="s">
        <v>608</v>
      </c>
      <c r="B604" s="108" t="s">
        <v>609</v>
      </c>
      <c r="C604" s="108" t="s">
        <v>610</v>
      </c>
      <c r="D604" s="108" t="s">
        <v>601</v>
      </c>
      <c r="F604" s="109" t="str">
        <f t="shared" si="67"/>
        <v>Y06</v>
      </c>
      <c r="G604" s="107" t="str">
        <f t="shared" si="66"/>
        <v>津曲崇志</v>
      </c>
      <c r="H604" s="108" t="s">
        <v>589</v>
      </c>
      <c r="I604" s="111" t="s">
        <v>1214</v>
      </c>
      <c r="J604" s="121">
        <v>1988</v>
      </c>
      <c r="K604" s="119">
        <f>IF(J604="","",(2015-J604))</f>
        <v>27</v>
      </c>
      <c r="L604" s="109" t="str">
        <f t="shared" si="68"/>
        <v>OK</v>
      </c>
      <c r="M604" s="108" t="s">
        <v>826</v>
      </c>
    </row>
    <row r="605" spans="1:13" ht="13.5">
      <c r="A605" s="107" t="s">
        <v>611</v>
      </c>
      <c r="B605" s="108" t="s">
        <v>612</v>
      </c>
      <c r="C605" s="108" t="s">
        <v>613</v>
      </c>
      <c r="D605" s="108" t="s">
        <v>589</v>
      </c>
      <c r="F605" s="109">
        <f>A620</f>
        <v>0</v>
      </c>
      <c r="G605" s="107">
        <f>B620&amp;C620</f>
      </c>
      <c r="H605" s="108" t="s">
        <v>589</v>
      </c>
      <c r="I605" s="111" t="s">
        <v>1214</v>
      </c>
      <c r="J605" s="121">
        <v>1980</v>
      </c>
      <c r="K605" s="119">
        <f>IF(J620="","",(2015-J620))</f>
      </c>
      <c r="L605" s="109">
        <f>IF(G620="","",IF(COUNTIF($G$24:$G$617,G620)&gt;1,"2重登録","OK"))</f>
      </c>
      <c r="M605" s="113" t="s">
        <v>596</v>
      </c>
    </row>
    <row r="606" spans="1:13" ht="13.5">
      <c r="A606" s="107" t="s">
        <v>614</v>
      </c>
      <c r="B606" s="113" t="s">
        <v>615</v>
      </c>
      <c r="C606" s="113" t="s">
        <v>616</v>
      </c>
      <c r="D606" s="108" t="s">
        <v>601</v>
      </c>
      <c r="F606" s="109" t="str">
        <f t="shared" si="67"/>
        <v>Y08</v>
      </c>
      <c r="G606" s="107" t="str">
        <f t="shared" si="66"/>
        <v>三浦朱莉</v>
      </c>
      <c r="H606" s="108" t="s">
        <v>589</v>
      </c>
      <c r="I606" s="114" t="s">
        <v>1409</v>
      </c>
      <c r="J606" s="121">
        <v>1990</v>
      </c>
      <c r="K606" s="119">
        <f>IF(J606="","",(2015-J606))</f>
        <v>25</v>
      </c>
      <c r="L606" s="109" t="str">
        <f t="shared" si="68"/>
        <v>OK</v>
      </c>
      <c r="M606" s="113" t="s">
        <v>596</v>
      </c>
    </row>
    <row r="607" spans="1:13" ht="13.5">
      <c r="A607" s="107" t="s">
        <v>617</v>
      </c>
      <c r="B607" s="113" t="s">
        <v>618</v>
      </c>
      <c r="C607" s="113" t="s">
        <v>619</v>
      </c>
      <c r="D607" s="108" t="s">
        <v>607</v>
      </c>
      <c r="F607" s="109" t="str">
        <f t="shared" si="67"/>
        <v>Y09</v>
      </c>
      <c r="G607" s="107" t="str">
        <f t="shared" si="66"/>
        <v>福本香菜実</v>
      </c>
      <c r="H607" s="108" t="s">
        <v>589</v>
      </c>
      <c r="I607" s="114" t="s">
        <v>1409</v>
      </c>
      <c r="J607" s="121">
        <v>1992</v>
      </c>
      <c r="K607" s="119">
        <f aca="true" t="shared" si="69" ref="K607:K615">IF(J607="","",(2016-J607))</f>
        <v>24</v>
      </c>
      <c r="L607" s="109" t="str">
        <f t="shared" si="68"/>
        <v>OK</v>
      </c>
      <c r="M607" s="108" t="s">
        <v>825</v>
      </c>
    </row>
    <row r="608" spans="1:13" ht="13.5">
      <c r="A608" s="107" t="s">
        <v>620</v>
      </c>
      <c r="B608" s="113" t="s">
        <v>621</v>
      </c>
      <c r="C608" s="113" t="s">
        <v>622</v>
      </c>
      <c r="D608" s="108" t="s">
        <v>595</v>
      </c>
      <c r="F608" s="109" t="str">
        <f t="shared" si="67"/>
        <v>Y10</v>
      </c>
      <c r="G608" s="107" t="str">
        <f t="shared" si="66"/>
        <v>大野みずき</v>
      </c>
      <c r="H608" s="108" t="s">
        <v>589</v>
      </c>
      <c r="I608" s="114" t="s">
        <v>1409</v>
      </c>
      <c r="J608" s="121">
        <v>1994</v>
      </c>
      <c r="K608" s="119">
        <f t="shared" si="69"/>
        <v>22</v>
      </c>
      <c r="L608" s="109" t="str">
        <f t="shared" si="68"/>
        <v>OK</v>
      </c>
      <c r="M608" s="108" t="s">
        <v>797</v>
      </c>
    </row>
    <row r="609" spans="1:13" ht="13.5">
      <c r="A609" s="107" t="s">
        <v>623</v>
      </c>
      <c r="B609" s="108" t="s">
        <v>624</v>
      </c>
      <c r="C609" s="108" t="s">
        <v>1223</v>
      </c>
      <c r="D609" s="108" t="s">
        <v>419</v>
      </c>
      <c r="F609" s="109" t="str">
        <f t="shared" si="67"/>
        <v>Y11</v>
      </c>
      <c r="G609" s="107" t="str">
        <f t="shared" si="66"/>
        <v>嶋村和彦</v>
      </c>
      <c r="H609" s="108" t="s">
        <v>589</v>
      </c>
      <c r="I609" s="111" t="s">
        <v>1214</v>
      </c>
      <c r="J609" s="121">
        <v>1990</v>
      </c>
      <c r="K609" s="119">
        <f t="shared" si="69"/>
        <v>26</v>
      </c>
      <c r="L609" s="109" t="str">
        <f aca="true" t="shared" si="70" ref="L609:L614">IF(G609="","",IF(COUNTIF($G$25:$G$717,G609)&gt;1,"2重登録","OK"))</f>
        <v>OK</v>
      </c>
      <c r="M609" s="108" t="s">
        <v>709</v>
      </c>
    </row>
    <row r="610" spans="1:13" ht="13.5">
      <c r="A610" s="107" t="s">
        <v>625</v>
      </c>
      <c r="B610" s="108" t="s">
        <v>626</v>
      </c>
      <c r="C610" s="108" t="s">
        <v>627</v>
      </c>
      <c r="D610" s="108" t="s">
        <v>601</v>
      </c>
      <c r="F610" s="109" t="str">
        <f t="shared" si="67"/>
        <v>Y12</v>
      </c>
      <c r="G610" s="107" t="str">
        <f t="shared" si="66"/>
        <v>川合優</v>
      </c>
      <c r="H610" s="108" t="s">
        <v>589</v>
      </c>
      <c r="I610" s="111" t="s">
        <v>1214</v>
      </c>
      <c r="J610" s="121">
        <v>1991</v>
      </c>
      <c r="K610" s="119">
        <f t="shared" si="69"/>
        <v>25</v>
      </c>
      <c r="L610" s="109" t="str">
        <f t="shared" si="70"/>
        <v>OK</v>
      </c>
      <c r="M610" s="108" t="s">
        <v>709</v>
      </c>
    </row>
    <row r="611" spans="1:13" ht="13.5">
      <c r="A611" s="107" t="s">
        <v>628</v>
      </c>
      <c r="B611" s="108" t="s">
        <v>729</v>
      </c>
      <c r="C611" s="108" t="s">
        <v>730</v>
      </c>
      <c r="D611" s="108" t="s">
        <v>595</v>
      </c>
      <c r="F611" s="109" t="str">
        <f t="shared" si="67"/>
        <v>Y13</v>
      </c>
      <c r="G611" s="107" t="str">
        <f t="shared" si="66"/>
        <v>小川文雄</v>
      </c>
      <c r="H611" s="108" t="s">
        <v>589</v>
      </c>
      <c r="I611" s="111" t="s">
        <v>1214</v>
      </c>
      <c r="J611" s="121">
        <v>1960</v>
      </c>
      <c r="K611" s="119">
        <f t="shared" si="69"/>
        <v>56</v>
      </c>
      <c r="L611" s="109" t="str">
        <f t="shared" si="70"/>
        <v>OK</v>
      </c>
      <c r="M611" s="108" t="s">
        <v>825</v>
      </c>
    </row>
    <row r="612" spans="1:13" ht="13.5">
      <c r="A612" s="107" t="s">
        <v>629</v>
      </c>
      <c r="B612" s="108" t="s">
        <v>630</v>
      </c>
      <c r="C612" s="108" t="s">
        <v>631</v>
      </c>
      <c r="D612" s="108" t="s">
        <v>420</v>
      </c>
      <c r="F612" s="109" t="str">
        <f t="shared" si="67"/>
        <v>Y14</v>
      </c>
      <c r="G612" s="107" t="str">
        <f t="shared" si="66"/>
        <v>寺村浩一</v>
      </c>
      <c r="H612" s="108" t="s">
        <v>589</v>
      </c>
      <c r="I612" s="111" t="s">
        <v>1214</v>
      </c>
      <c r="J612" s="121">
        <v>1968</v>
      </c>
      <c r="K612" s="119">
        <f t="shared" si="69"/>
        <v>48</v>
      </c>
      <c r="L612" s="109" t="str">
        <f t="shared" si="70"/>
        <v>OK</v>
      </c>
      <c r="M612" s="108" t="s">
        <v>812</v>
      </c>
    </row>
    <row r="613" spans="1:13" ht="13.5">
      <c r="A613" s="107" t="s">
        <v>421</v>
      </c>
      <c r="B613" s="108" t="s">
        <v>1443</v>
      </c>
      <c r="C613" s="108" t="s">
        <v>422</v>
      </c>
      <c r="D613" s="108" t="s">
        <v>595</v>
      </c>
      <c r="F613" s="109" t="str">
        <f t="shared" si="67"/>
        <v>Y15</v>
      </c>
      <c r="G613" s="107" t="str">
        <f t="shared" si="66"/>
        <v>北村拓也</v>
      </c>
      <c r="H613" s="108" t="s">
        <v>589</v>
      </c>
      <c r="I613" s="111" t="s">
        <v>1214</v>
      </c>
      <c r="J613" s="121">
        <v>1985</v>
      </c>
      <c r="K613" s="119">
        <f t="shared" si="69"/>
        <v>31</v>
      </c>
      <c r="L613" s="109" t="str">
        <f t="shared" si="70"/>
        <v>OK</v>
      </c>
      <c r="M613" s="108" t="s">
        <v>802</v>
      </c>
    </row>
    <row r="614" spans="1:13" ht="13.5">
      <c r="A614" s="107" t="s">
        <v>423</v>
      </c>
      <c r="B614" s="108" t="s">
        <v>424</v>
      </c>
      <c r="C614" s="108" t="s">
        <v>425</v>
      </c>
      <c r="D614" s="108" t="s">
        <v>426</v>
      </c>
      <c r="F614" s="109" t="str">
        <f t="shared" si="67"/>
        <v>Y16</v>
      </c>
      <c r="G614" s="107" t="str">
        <f t="shared" si="66"/>
        <v>小田紀彦</v>
      </c>
      <c r="H614" s="108" t="s">
        <v>589</v>
      </c>
      <c r="I614" s="111" t="s">
        <v>1214</v>
      </c>
      <c r="J614" s="121">
        <v>1984</v>
      </c>
      <c r="K614" s="119">
        <f t="shared" si="69"/>
        <v>32</v>
      </c>
      <c r="L614" s="109" t="str">
        <f t="shared" si="70"/>
        <v>OK</v>
      </c>
      <c r="M614" s="108" t="s">
        <v>829</v>
      </c>
    </row>
    <row r="615" spans="1:13" ht="13.5">
      <c r="A615" s="107" t="s">
        <v>427</v>
      </c>
      <c r="B615" s="113" t="s">
        <v>428</v>
      </c>
      <c r="C615" s="113" t="s">
        <v>429</v>
      </c>
      <c r="D615" s="108" t="s">
        <v>595</v>
      </c>
      <c r="F615" s="109" t="str">
        <f t="shared" si="67"/>
        <v>Y17</v>
      </c>
      <c r="G615" s="107" t="str">
        <f t="shared" si="66"/>
        <v>中川久江</v>
      </c>
      <c r="H615" s="108" t="s">
        <v>589</v>
      </c>
      <c r="I615" s="114" t="s">
        <v>1409</v>
      </c>
      <c r="J615" s="121">
        <v>1966</v>
      </c>
      <c r="K615" s="119">
        <f t="shared" si="69"/>
        <v>50</v>
      </c>
      <c r="L615" s="109" t="str">
        <f>IF(G615="","",IF(COUNTIF($G$3:$G$640,G615)&gt;1,"2重登録","OK"))</f>
        <v>OK</v>
      </c>
      <c r="M615" s="140" t="s">
        <v>823</v>
      </c>
    </row>
    <row r="616" spans="2:13" ht="13.5">
      <c r="B616" s="108"/>
      <c r="C616" s="108"/>
      <c r="D616" s="108"/>
      <c r="F616" s="109"/>
      <c r="H616" s="108"/>
      <c r="I616" s="111"/>
      <c r="J616" s="121"/>
      <c r="K616" s="119"/>
      <c r="L616" s="109"/>
      <c r="M616" s="108"/>
    </row>
    <row r="617" spans="2:13" ht="13.5">
      <c r="B617" s="108"/>
      <c r="C617" s="108"/>
      <c r="D617" s="108"/>
      <c r="F617" s="109"/>
      <c r="H617" s="108"/>
      <c r="I617" s="111"/>
      <c r="J617" s="121"/>
      <c r="K617" s="119"/>
      <c r="L617" s="109"/>
      <c r="M617" s="108"/>
    </row>
    <row r="618" ht="13.5">
      <c r="B618" s="107" t="s">
        <v>430</v>
      </c>
    </row>
    <row r="632" spans="1:13" s="124" customFormat="1" ht="18.75" customHeight="1">
      <c r="A632" s="191" t="s">
        <v>1199</v>
      </c>
      <c r="B632" s="191"/>
      <c r="C632" s="655" t="e">
        <f>RIGHT(A571,2)+RIGHT(A615,2)+RIGHT(A514,2)+RIGHT(A484,2)+RIGHT(A450,2)+RIGHT(A406,2)+RIGHT(A344,2)+RIGHT(A283,2)+RIGHT(A179,2)+RIGHT(A133,2)+RIGHT(A58,2)+RIGHT(#REF!,2)+RIGHT(A588,2)</f>
        <v>#REF!</v>
      </c>
      <c r="D632" s="655"/>
      <c r="E632" s="655"/>
      <c r="F632" s="109"/>
      <c r="G632" s="656" t="e">
        <f>$H$28+$G$205+$G$293+$G$352+$G$416+$G$521+$H$461+$G$75+$G$493+G147+#REF!+$H$596</f>
        <v>#REF!</v>
      </c>
      <c r="H632" s="656"/>
      <c r="I632" s="107"/>
      <c r="J632" s="118"/>
      <c r="K632" s="118"/>
      <c r="L632" s="109"/>
      <c r="M632" s="107"/>
    </row>
    <row r="633" spans="1:13" s="124" customFormat="1" ht="18.75" customHeight="1">
      <c r="A633" s="191"/>
      <c r="B633" s="191"/>
      <c r="C633" s="655"/>
      <c r="D633" s="655"/>
      <c r="E633" s="655"/>
      <c r="F633" s="109"/>
      <c r="G633" s="656"/>
      <c r="H633" s="656"/>
      <c r="I633" s="107"/>
      <c r="J633" s="118"/>
      <c r="K633" s="118"/>
      <c r="L633" s="107"/>
      <c r="M633" s="107"/>
    </row>
    <row r="634" spans="1:13" s="124" customFormat="1" ht="18.75" customHeight="1">
      <c r="A634" s="191"/>
      <c r="B634" s="107"/>
      <c r="C634" s="107"/>
      <c r="D634" s="107"/>
      <c r="E634" s="107"/>
      <c r="F634" s="107"/>
      <c r="G634" s="149"/>
      <c r="H634" s="149"/>
      <c r="I634" s="107"/>
      <c r="J634" s="118"/>
      <c r="K634" s="118"/>
      <c r="L634" s="107"/>
      <c r="M634" s="107"/>
    </row>
    <row r="635" spans="1:13" s="124" customFormat="1" ht="18.75" customHeight="1">
      <c r="A635" s="107"/>
      <c r="B635" s="107"/>
      <c r="C635" s="107"/>
      <c r="D635" s="657"/>
      <c r="E635" s="107"/>
      <c r="F635" s="107"/>
      <c r="G635" s="659" t="s">
        <v>680</v>
      </c>
      <c r="H635" s="659"/>
      <c r="I635" s="107"/>
      <c r="J635" s="118"/>
      <c r="K635" s="118"/>
      <c r="L635" s="107"/>
      <c r="M635" s="107"/>
    </row>
    <row r="636" spans="1:13" s="124" customFormat="1" ht="13.5">
      <c r="A636" s="107"/>
      <c r="B636" s="107"/>
      <c r="C636" s="657"/>
      <c r="D636" s="658"/>
      <c r="E636" s="107"/>
      <c r="F636" s="107"/>
      <c r="G636" s="659"/>
      <c r="H636" s="659"/>
      <c r="I636" s="107"/>
      <c r="J636" s="118"/>
      <c r="K636" s="118"/>
      <c r="L636" s="107"/>
      <c r="M636" s="107"/>
    </row>
    <row r="637" spans="1:13" s="124" customFormat="1" ht="13.5">
      <c r="A637" s="107"/>
      <c r="B637" s="107"/>
      <c r="C637" s="655"/>
      <c r="D637" s="107"/>
      <c r="E637" s="107"/>
      <c r="F637" s="107"/>
      <c r="G637" s="660" t="e">
        <f>$G$632/$C$632</f>
        <v>#REF!</v>
      </c>
      <c r="H637" s="660"/>
      <c r="I637" s="107"/>
      <c r="J637" s="118"/>
      <c r="K637" s="118"/>
      <c r="L637" s="107"/>
      <c r="M637" s="107"/>
    </row>
    <row r="638" spans="1:13" s="124" customFormat="1" ht="13.5">
      <c r="A638" s="107"/>
      <c r="B638" s="107"/>
      <c r="C638" s="107"/>
      <c r="D638" s="107"/>
      <c r="E638" s="107"/>
      <c r="F638" s="107"/>
      <c r="G638" s="660"/>
      <c r="H638" s="660"/>
      <c r="I638" s="107"/>
      <c r="J638" s="118"/>
      <c r="K638" s="118"/>
      <c r="L638" s="107"/>
      <c r="M638" s="107"/>
    </row>
    <row r="639" spans="1:13" s="124" customFormat="1" ht="13.5">
      <c r="A639" s="107"/>
      <c r="B639" s="107"/>
      <c r="C639" s="221"/>
      <c r="D639" s="107"/>
      <c r="E639" s="107"/>
      <c r="F639" s="107"/>
      <c r="G639" s="107"/>
      <c r="H639" s="107"/>
      <c r="I639" s="107"/>
      <c r="J639" s="118"/>
      <c r="K639" s="118"/>
      <c r="L639" s="107"/>
      <c r="M639" s="107"/>
    </row>
    <row r="640" spans="1:13" s="124" customFormat="1" ht="13.5">
      <c r="A640" s="107"/>
      <c r="B640" s="107"/>
      <c r="C640" s="107"/>
      <c r="D640" s="107"/>
      <c r="E640" s="107"/>
      <c r="F640" s="107"/>
      <c r="G640" s="107"/>
      <c r="H640" s="107"/>
      <c r="I640" s="107"/>
      <c r="J640" s="118"/>
      <c r="K640" s="118"/>
      <c r="L640" s="107"/>
      <c r="M640" s="107"/>
    </row>
    <row r="641" spans="1:13" s="124" customFormat="1" ht="13.5">
      <c r="A641" s="107"/>
      <c r="B641" s="107"/>
      <c r="C641" s="107"/>
      <c r="D641" s="107"/>
      <c r="E641" s="107"/>
      <c r="F641" s="107"/>
      <c r="G641" s="107"/>
      <c r="H641" s="107"/>
      <c r="I641" s="107"/>
      <c r="J641" s="118"/>
      <c r="K641" s="118"/>
      <c r="L641" s="107"/>
      <c r="M641" s="107"/>
    </row>
  </sheetData>
  <sheetProtection password="CC53" sheet="1"/>
  <mergeCells count="67">
    <mergeCell ref="D27:G28"/>
    <mergeCell ref="B413:C414"/>
    <mergeCell ref="D413:H414"/>
    <mergeCell ref="H415:J415"/>
    <mergeCell ref="B30:C30"/>
    <mergeCell ref="H292:J292"/>
    <mergeCell ref="C72:D73"/>
    <mergeCell ref="E72:I73"/>
    <mergeCell ref="B74:C75"/>
    <mergeCell ref="H146:J146"/>
    <mergeCell ref="H416:J416"/>
    <mergeCell ref="B490:C491"/>
    <mergeCell ref="D490:G491"/>
    <mergeCell ref="H492:J492"/>
    <mergeCell ref="B460:C461"/>
    <mergeCell ref="D460:G461"/>
    <mergeCell ref="I460:K460"/>
    <mergeCell ref="I461:K461"/>
    <mergeCell ref="B463:C463"/>
    <mergeCell ref="B418:C418"/>
    <mergeCell ref="I1:K1"/>
    <mergeCell ref="I2:K2"/>
    <mergeCell ref="B4:C4"/>
    <mergeCell ref="B144:C145"/>
    <mergeCell ref="D144:H145"/>
    <mergeCell ref="I27:K27"/>
    <mergeCell ref="B29:C29"/>
    <mergeCell ref="B1:C2"/>
    <mergeCell ref="D1:G2"/>
    <mergeCell ref="B27:C28"/>
    <mergeCell ref="B147:C147"/>
    <mergeCell ref="H147:J147"/>
    <mergeCell ref="C202:D203"/>
    <mergeCell ref="E202:H203"/>
    <mergeCell ref="B207:C207"/>
    <mergeCell ref="B290:C291"/>
    <mergeCell ref="D290:G291"/>
    <mergeCell ref="H290:I291"/>
    <mergeCell ref="B293:C293"/>
    <mergeCell ref="H293:J293"/>
    <mergeCell ref="B348:D349"/>
    <mergeCell ref="B350:C351"/>
    <mergeCell ref="B493:C493"/>
    <mergeCell ref="H493:J493"/>
    <mergeCell ref="B518:C519"/>
    <mergeCell ref="D518:G519"/>
    <mergeCell ref="E520:F520"/>
    <mergeCell ref="H520:J520"/>
    <mergeCell ref="B521:D521"/>
    <mergeCell ref="E521:F521"/>
    <mergeCell ref="H521:J521"/>
    <mergeCell ref="B575:C576"/>
    <mergeCell ref="D575:G576"/>
    <mergeCell ref="D577:E577"/>
    <mergeCell ref="B578:C578"/>
    <mergeCell ref="D578:E578"/>
    <mergeCell ref="B595:C596"/>
    <mergeCell ref="D595:G596"/>
    <mergeCell ref="I595:K595"/>
    <mergeCell ref="I596:K596"/>
    <mergeCell ref="B598:C598"/>
    <mergeCell ref="C632:E633"/>
    <mergeCell ref="G632:H633"/>
    <mergeCell ref="D635:D636"/>
    <mergeCell ref="G635:H636"/>
    <mergeCell ref="C636:C637"/>
    <mergeCell ref="G637:H638"/>
  </mergeCells>
  <hyperlinks>
    <hyperlink ref="D389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2:DO82"/>
  <sheetViews>
    <sheetView zoomScaleSheetLayoutView="100" workbookViewId="0" topLeftCell="A1">
      <selection activeCell="U64" sqref="U64"/>
    </sheetView>
  </sheetViews>
  <sheetFormatPr defaultColWidth="0.875" defaultRowHeight="6" customHeight="1"/>
  <sheetData>
    <row r="2" spans="12:109" ht="21" customHeight="1">
      <c r="L2" s="423" t="s">
        <v>1200</v>
      </c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</row>
    <row r="3" spans="5:27" ht="21" customHeight="1">
      <c r="E3" s="423" t="s">
        <v>1201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</row>
    <row r="4" spans="4:113" ht="21" customHeight="1">
      <c r="D4" s="423" t="s">
        <v>1202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3"/>
      <c r="BX4" s="423"/>
      <c r="BY4" s="423"/>
      <c r="BZ4" s="423"/>
      <c r="CA4" s="423"/>
      <c r="CB4" s="423"/>
      <c r="CC4" s="423"/>
      <c r="CD4" s="423"/>
      <c r="CE4" s="423"/>
      <c r="CF4" s="423"/>
      <c r="CG4" s="423"/>
      <c r="CH4" s="423"/>
      <c r="CI4" s="423"/>
      <c r="CJ4" s="423"/>
      <c r="CK4" s="423"/>
      <c r="CL4" s="423"/>
      <c r="CM4" s="423"/>
      <c r="CN4" s="423"/>
      <c r="CO4" s="423"/>
      <c r="CP4" s="423"/>
      <c r="CQ4" s="423"/>
      <c r="CR4" s="423"/>
      <c r="CS4" s="423"/>
      <c r="CT4" s="423"/>
      <c r="CU4" s="423"/>
      <c r="CV4" s="423"/>
      <c r="CW4" s="423"/>
      <c r="CX4" s="423"/>
      <c r="CY4" s="423"/>
      <c r="CZ4" s="423"/>
      <c r="DA4" s="423"/>
      <c r="DB4" s="423"/>
      <c r="DC4" s="423"/>
      <c r="DD4" s="423"/>
      <c r="DE4" s="423"/>
      <c r="DF4" s="423"/>
      <c r="DG4" s="423"/>
      <c r="DH4" s="423"/>
      <c r="DI4" s="423"/>
    </row>
    <row r="5" spans="5:109" ht="21" customHeight="1">
      <c r="E5" s="624" t="s">
        <v>1203</v>
      </c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4"/>
      <c r="BM5" s="624"/>
      <c r="BN5" s="624"/>
      <c r="BO5" s="624"/>
      <c r="BP5" s="624"/>
      <c r="BQ5" s="624"/>
      <c r="BR5" s="624"/>
      <c r="BS5" s="624"/>
      <c r="BT5" s="624"/>
      <c r="BU5" s="624"/>
      <c r="BV5" s="624"/>
      <c r="BW5" s="624"/>
      <c r="BX5" s="624"/>
      <c r="BY5" s="624"/>
      <c r="BZ5" s="624"/>
      <c r="CA5" s="624"/>
      <c r="CB5" s="624"/>
      <c r="CC5" s="624"/>
      <c r="CD5" s="624"/>
      <c r="CE5" s="624"/>
      <c r="CF5" s="624"/>
      <c r="CG5" s="624"/>
      <c r="CH5" s="624"/>
      <c r="CI5" s="624"/>
      <c r="CJ5" s="624"/>
      <c r="CK5" s="624"/>
      <c r="CL5" s="624"/>
      <c r="CM5" s="624"/>
      <c r="CN5" s="624"/>
      <c r="CO5" s="624"/>
      <c r="CP5" s="624"/>
      <c r="CQ5" s="624"/>
      <c r="CR5" s="624"/>
      <c r="CS5" s="624"/>
      <c r="CT5" s="624"/>
      <c r="CU5" s="624"/>
      <c r="CV5" s="624"/>
      <c r="CW5" s="624"/>
      <c r="CX5" s="624"/>
      <c r="CY5" s="624"/>
      <c r="CZ5" s="624"/>
      <c r="DA5" s="624"/>
      <c r="DB5" s="624"/>
      <c r="DC5" s="624"/>
      <c r="DD5" s="624"/>
      <c r="DE5" s="624"/>
    </row>
    <row r="6" spans="5:111" ht="22.5" customHeight="1">
      <c r="E6" s="624" t="s">
        <v>1204</v>
      </c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  <c r="CN6" s="624"/>
      <c r="CO6" s="624"/>
      <c r="CP6" s="624"/>
      <c r="CQ6" s="624"/>
      <c r="CR6" s="624"/>
      <c r="CS6" s="624"/>
      <c r="CT6" s="624"/>
      <c r="CU6" s="624"/>
      <c r="CV6" s="624"/>
      <c r="CW6" s="624"/>
      <c r="CX6" s="624"/>
      <c r="CY6" s="624"/>
      <c r="CZ6" s="624"/>
      <c r="DA6" s="624"/>
      <c r="DB6" s="624"/>
      <c r="DC6" s="624"/>
      <c r="DD6" s="624"/>
      <c r="DE6" s="624"/>
      <c r="DF6" s="624"/>
      <c r="DG6" s="624"/>
    </row>
    <row r="7" ht="39.75" customHeight="1"/>
    <row r="8" spans="16:109" ht="6" customHeight="1">
      <c r="P8" s="89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C8" s="78"/>
      <c r="AD8" s="78"/>
      <c r="AE8" s="692" t="s">
        <v>1205</v>
      </c>
      <c r="AF8" s="693"/>
      <c r="AG8" s="693"/>
      <c r="AH8" s="693"/>
      <c r="AI8" s="693"/>
      <c r="AJ8" s="693"/>
      <c r="AK8" s="693"/>
      <c r="AL8" s="693"/>
      <c r="AM8" s="694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89"/>
      <c r="CW8" s="90"/>
      <c r="CX8" s="90"/>
      <c r="CY8" s="90"/>
      <c r="CZ8" s="90"/>
      <c r="DA8" s="90"/>
      <c r="DB8" s="90"/>
      <c r="DC8" s="90"/>
      <c r="DD8" s="90"/>
      <c r="DE8" s="91"/>
    </row>
    <row r="9" spans="16:109" ht="6" customHeight="1">
      <c r="P9" s="92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  <c r="AC9" s="1"/>
      <c r="AD9" s="1"/>
      <c r="AE9" s="695"/>
      <c r="AF9" s="680"/>
      <c r="AG9" s="680"/>
      <c r="AH9" s="680"/>
      <c r="AI9" s="680"/>
      <c r="AJ9" s="680"/>
      <c r="AK9" s="680"/>
      <c r="AL9" s="680"/>
      <c r="AM9" s="696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92"/>
      <c r="CW9" s="93"/>
      <c r="CX9" s="93"/>
      <c r="CY9" s="93"/>
      <c r="CZ9" s="93"/>
      <c r="DA9" s="93"/>
      <c r="DB9" s="93"/>
      <c r="DC9" s="93"/>
      <c r="DD9" s="93"/>
      <c r="DE9" s="94"/>
    </row>
    <row r="10" spans="16:109" ht="6" customHeight="1">
      <c r="P10" s="80"/>
      <c r="Q10" s="693" t="s">
        <v>1206</v>
      </c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1"/>
      <c r="AD10" s="1"/>
      <c r="AE10" s="697"/>
      <c r="AF10" s="698"/>
      <c r="AG10" s="698"/>
      <c r="AH10" s="698"/>
      <c r="AI10" s="698"/>
      <c r="AJ10" s="698"/>
      <c r="AK10" s="698"/>
      <c r="AL10" s="698"/>
      <c r="AM10" s="699"/>
      <c r="AN10" s="1"/>
      <c r="AO10" s="1"/>
      <c r="AP10" s="1"/>
      <c r="AQ10" s="1"/>
      <c r="AR10" s="1"/>
      <c r="AS10" s="1"/>
      <c r="AT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693" t="s">
        <v>1206</v>
      </c>
      <c r="CW10" s="693"/>
      <c r="CX10" s="693"/>
      <c r="CY10" s="693"/>
      <c r="CZ10" s="693"/>
      <c r="DA10" s="693"/>
      <c r="DB10" s="693"/>
      <c r="DC10" s="693"/>
      <c r="DD10" s="693"/>
      <c r="DE10" s="694"/>
    </row>
    <row r="11" spans="16:109" ht="6" customHeight="1">
      <c r="P11" s="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680"/>
      <c r="CW11" s="680"/>
      <c r="CX11" s="680"/>
      <c r="CY11" s="680"/>
      <c r="CZ11" s="680"/>
      <c r="DA11" s="680"/>
      <c r="DB11" s="680"/>
      <c r="DC11" s="680"/>
      <c r="DD11" s="680"/>
      <c r="DE11" s="696"/>
    </row>
    <row r="12" spans="16:109" ht="6" customHeight="1">
      <c r="P12" s="80"/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BB12" s="1"/>
      <c r="BC12" s="1"/>
      <c r="BD12" s="1"/>
      <c r="BE12" s="1"/>
      <c r="BF12" s="77"/>
      <c r="BG12" s="78"/>
      <c r="BH12" s="79"/>
      <c r="BI12" s="1"/>
      <c r="BJ12" s="1"/>
      <c r="BK12" s="1"/>
      <c r="BL12" s="1"/>
      <c r="BM12" s="1"/>
      <c r="BN12" s="1"/>
      <c r="BO12" s="1"/>
      <c r="BP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680"/>
      <c r="CW12" s="680"/>
      <c r="CX12" s="680"/>
      <c r="CY12" s="680"/>
      <c r="CZ12" s="680"/>
      <c r="DA12" s="680"/>
      <c r="DB12" s="680"/>
      <c r="DC12" s="680"/>
      <c r="DD12" s="680"/>
      <c r="DE12" s="696"/>
    </row>
    <row r="13" spans="16:109" ht="6" customHeight="1">
      <c r="P13" s="8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2"/>
      <c r="BG13" s="83"/>
      <c r="BH13" s="84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81"/>
    </row>
    <row r="14" spans="16:109" ht="6" customHeight="1">
      <c r="P14" s="8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81"/>
    </row>
    <row r="15" spans="16:109" ht="6" customHeight="1">
      <c r="P15" s="8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81"/>
    </row>
    <row r="16" spans="16:109" ht="6" customHeight="1">
      <c r="P16" s="8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81"/>
    </row>
    <row r="17" spans="16:109" ht="6" customHeight="1">
      <c r="P17" s="8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8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81"/>
    </row>
    <row r="18" spans="16:109" ht="6" customHeight="1">
      <c r="P18" s="8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8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81"/>
    </row>
    <row r="19" spans="16:109" ht="6" customHeight="1">
      <c r="P19" s="8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7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9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9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81"/>
    </row>
    <row r="20" spans="16:109" ht="6" customHeight="1">
      <c r="P20" s="8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82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4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81"/>
    </row>
    <row r="21" spans="16:109" ht="6" customHeight="1">
      <c r="P21" s="8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79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8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79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8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81"/>
    </row>
    <row r="22" spans="16:109" ht="6" customHeight="1">
      <c r="P22" s="8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8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8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8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8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81"/>
    </row>
    <row r="23" spans="16:109" ht="6" customHeight="1">
      <c r="P23" s="8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80"/>
      <c r="AE23" s="1"/>
      <c r="AF23" s="423" t="s">
        <v>1207</v>
      </c>
      <c r="AG23" s="423"/>
      <c r="AH23" s="423"/>
      <c r="AI23" s="423"/>
      <c r="AJ23" s="423"/>
      <c r="AK23" s="423"/>
      <c r="AL23" s="423"/>
      <c r="AM23" s="423"/>
      <c r="AN23" s="423"/>
      <c r="AO23" s="423"/>
      <c r="AP23" s="1"/>
      <c r="AQ23" s="8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8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8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8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81"/>
    </row>
    <row r="24" spans="16:109" ht="6" customHeight="1">
      <c r="P24" s="8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80"/>
      <c r="AE24" s="1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1"/>
      <c r="AQ24" s="8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8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8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8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81"/>
    </row>
    <row r="25" spans="16:109" ht="6" customHeight="1">
      <c r="P25" s="8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80"/>
      <c r="AE25" s="1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1"/>
      <c r="AQ25" s="8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8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8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8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81"/>
    </row>
    <row r="26" spans="16:109" ht="6" customHeight="1">
      <c r="P26" s="8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80"/>
      <c r="AE26" s="1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1"/>
      <c r="AQ26" s="8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8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8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8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81"/>
    </row>
    <row r="27" spans="16:109" ht="6" customHeight="1">
      <c r="P27" s="8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80"/>
      <c r="AE27" s="1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1"/>
      <c r="AQ27" s="8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8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8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81"/>
    </row>
    <row r="28" spans="16:109" ht="6" customHeight="1">
      <c r="P28" s="8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80"/>
      <c r="AE28" s="1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1"/>
      <c r="AQ28" s="8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8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8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8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81"/>
    </row>
    <row r="29" spans="16:109" ht="6" customHeight="1">
      <c r="P29" s="8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8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81"/>
      <c r="AR29" s="82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4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4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8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81"/>
    </row>
    <row r="30" spans="16:109" ht="6" customHeight="1">
      <c r="P30" s="8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8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8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8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8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8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81"/>
    </row>
    <row r="31" spans="16:109" ht="6" customHeight="1">
      <c r="P31" s="8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8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8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8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8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8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81"/>
    </row>
    <row r="32" spans="16:109" ht="6" customHeight="1">
      <c r="P32" s="8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8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8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8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8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8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81"/>
    </row>
    <row r="33" spans="16:109" ht="6" customHeight="1">
      <c r="P33" s="8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8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8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8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8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8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81"/>
    </row>
    <row r="34" spans="16:109" ht="6" customHeight="1">
      <c r="P34" s="8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8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8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8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8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8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81"/>
    </row>
    <row r="35" spans="16:109" ht="6" customHeight="1">
      <c r="P35" s="8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8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8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8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8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8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81"/>
    </row>
    <row r="36" spans="16:109" ht="6" customHeight="1">
      <c r="P36" s="8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8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8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8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8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8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81"/>
    </row>
    <row r="37" spans="16:109" ht="6" customHeight="1">
      <c r="P37" s="8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8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8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8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8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81"/>
    </row>
    <row r="38" spans="16:109" ht="6" customHeight="1">
      <c r="P38" s="8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4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4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81"/>
    </row>
    <row r="39" spans="16:109" ht="6" customHeight="1">
      <c r="P39" s="8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8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8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81"/>
    </row>
    <row r="40" spans="16:109" ht="6" customHeight="1">
      <c r="P40" s="8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82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4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4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02"/>
      <c r="DD40" s="103"/>
      <c r="DE40" s="81"/>
    </row>
    <row r="41" spans="16:109" ht="6" customHeight="1">
      <c r="P41" s="8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8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04"/>
      <c r="DD41" s="105"/>
      <c r="DE41" s="81"/>
    </row>
    <row r="42" spans="16:109" ht="6" customHeight="1">
      <c r="P42" s="8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8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04"/>
      <c r="DD42" s="105"/>
      <c r="DE42" s="81"/>
    </row>
    <row r="43" spans="16:109" ht="6" customHeight="1">
      <c r="P43" s="8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681" t="s">
        <v>1208</v>
      </c>
      <c r="AY43" s="682"/>
      <c r="AZ43" s="682"/>
      <c r="BA43" s="682"/>
      <c r="BB43" s="682"/>
      <c r="BC43" s="682"/>
      <c r="BD43" s="682"/>
      <c r="BE43" s="682"/>
      <c r="BF43" s="683"/>
      <c r="BG43" s="81"/>
      <c r="BH43" s="1"/>
      <c r="BI43" s="681" t="s">
        <v>1208</v>
      </c>
      <c r="BJ43" s="682"/>
      <c r="BK43" s="682"/>
      <c r="BL43" s="682"/>
      <c r="BM43" s="682"/>
      <c r="BN43" s="682"/>
      <c r="BO43" s="682"/>
      <c r="BP43" s="682"/>
      <c r="BQ43" s="683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98"/>
      <c r="DD43" s="99"/>
      <c r="DE43" s="81"/>
    </row>
    <row r="44" spans="16:109" ht="6" customHeight="1">
      <c r="P44" s="8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684"/>
      <c r="AY44" s="685"/>
      <c r="AZ44" s="685"/>
      <c r="BA44" s="685"/>
      <c r="BB44" s="685"/>
      <c r="BC44" s="685"/>
      <c r="BD44" s="685"/>
      <c r="BE44" s="685"/>
      <c r="BF44" s="686"/>
      <c r="BG44" s="1"/>
      <c r="BH44" s="1"/>
      <c r="BI44" s="684"/>
      <c r="BJ44" s="685"/>
      <c r="BK44" s="685"/>
      <c r="BL44" s="685"/>
      <c r="BM44" s="685"/>
      <c r="BN44" s="685"/>
      <c r="BO44" s="685"/>
      <c r="BP44" s="685"/>
      <c r="BQ44" s="686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98"/>
      <c r="DD44" s="99"/>
      <c r="DE44" s="81"/>
    </row>
    <row r="45" spans="16:118" ht="6" customHeight="1">
      <c r="P45" s="86"/>
      <c r="Q45" s="691" t="s">
        <v>1209</v>
      </c>
      <c r="R45" s="423"/>
      <c r="S45" s="423"/>
      <c r="T45" s="423"/>
      <c r="U45" s="423"/>
      <c r="V45" s="423"/>
      <c r="W45" s="423"/>
      <c r="X45" s="423"/>
      <c r="Y45" s="423"/>
      <c r="Z45" s="42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687"/>
      <c r="AY45" s="688"/>
      <c r="AZ45" s="688"/>
      <c r="BA45" s="688"/>
      <c r="BB45" s="688"/>
      <c r="BC45" s="688"/>
      <c r="BD45" s="688"/>
      <c r="BE45" s="688"/>
      <c r="BF45" s="689"/>
      <c r="BG45" s="1"/>
      <c r="BH45" s="1"/>
      <c r="BI45" s="687"/>
      <c r="BJ45" s="688"/>
      <c r="BK45" s="688"/>
      <c r="BL45" s="688"/>
      <c r="BM45" s="688"/>
      <c r="BN45" s="688"/>
      <c r="BO45" s="688"/>
      <c r="BP45" s="688"/>
      <c r="BQ45" s="689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00"/>
      <c r="DD45" s="101"/>
      <c r="DE45" s="81"/>
      <c r="DG45" s="1"/>
      <c r="DH45" s="1"/>
      <c r="DI45" s="1"/>
      <c r="DJ45" s="1"/>
      <c r="DK45" s="1"/>
      <c r="DL45" s="1"/>
      <c r="DM45" s="1"/>
      <c r="DN45" s="1"/>
    </row>
    <row r="46" spans="16:118" ht="6" customHeight="1">
      <c r="P46" s="86"/>
      <c r="Q46" s="691"/>
      <c r="R46" s="423"/>
      <c r="S46" s="423"/>
      <c r="T46" s="423"/>
      <c r="U46" s="423"/>
      <c r="V46" s="423"/>
      <c r="W46" s="423"/>
      <c r="X46" s="423"/>
      <c r="Y46" s="423"/>
      <c r="Z46" s="42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680" t="s">
        <v>1210</v>
      </c>
      <c r="CZ46" s="680"/>
      <c r="DA46" s="680"/>
      <c r="DB46" s="680"/>
      <c r="DC46" s="680"/>
      <c r="DD46" s="680"/>
      <c r="DE46" s="680"/>
      <c r="DF46" s="680"/>
      <c r="DG46" s="680"/>
      <c r="DH46" s="680"/>
      <c r="DI46" s="680"/>
      <c r="DJ46" s="88"/>
      <c r="DK46" s="88"/>
      <c r="DL46" s="88"/>
      <c r="DM46" s="88"/>
      <c r="DN46" s="1"/>
    </row>
    <row r="47" spans="16:118" ht="6" customHeight="1">
      <c r="P47" s="86"/>
      <c r="Q47" s="691"/>
      <c r="R47" s="423"/>
      <c r="S47" s="423"/>
      <c r="T47" s="423"/>
      <c r="U47" s="423"/>
      <c r="V47" s="423"/>
      <c r="W47" s="423"/>
      <c r="X47" s="423"/>
      <c r="Y47" s="423"/>
      <c r="Z47" s="42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681" t="s">
        <v>1208</v>
      </c>
      <c r="AY47" s="682"/>
      <c r="AZ47" s="682"/>
      <c r="BA47" s="682"/>
      <c r="BB47" s="682"/>
      <c r="BC47" s="682"/>
      <c r="BD47" s="682"/>
      <c r="BE47" s="682"/>
      <c r="BF47" s="683"/>
      <c r="BG47" s="95"/>
      <c r="BH47" s="95"/>
      <c r="BI47" s="681" t="s">
        <v>1208</v>
      </c>
      <c r="BJ47" s="682"/>
      <c r="BK47" s="682"/>
      <c r="BL47" s="682"/>
      <c r="BM47" s="682"/>
      <c r="BN47" s="682"/>
      <c r="BO47" s="682"/>
      <c r="BP47" s="682"/>
      <c r="BQ47" s="683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95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680"/>
      <c r="CZ47" s="680"/>
      <c r="DA47" s="680"/>
      <c r="DB47" s="680"/>
      <c r="DC47" s="680"/>
      <c r="DD47" s="680"/>
      <c r="DE47" s="680"/>
      <c r="DF47" s="680"/>
      <c r="DG47" s="680"/>
      <c r="DH47" s="680"/>
      <c r="DI47" s="680"/>
      <c r="DJ47" s="88"/>
      <c r="DK47" s="88"/>
      <c r="DL47" s="88"/>
      <c r="DM47" s="88"/>
      <c r="DN47" s="1"/>
    </row>
    <row r="48" spans="16:118" ht="6" customHeight="1">
      <c r="P48" s="8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684"/>
      <c r="AY48" s="685"/>
      <c r="AZ48" s="685"/>
      <c r="BA48" s="685"/>
      <c r="BB48" s="685"/>
      <c r="BC48" s="685"/>
      <c r="BD48" s="685"/>
      <c r="BE48" s="685"/>
      <c r="BF48" s="686"/>
      <c r="BG48" s="95"/>
      <c r="BH48" s="95"/>
      <c r="BI48" s="684"/>
      <c r="BJ48" s="685"/>
      <c r="BK48" s="685"/>
      <c r="BL48" s="685"/>
      <c r="BM48" s="685"/>
      <c r="BN48" s="685"/>
      <c r="BO48" s="685"/>
      <c r="BP48" s="685"/>
      <c r="BQ48" s="686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680"/>
      <c r="CZ48" s="680"/>
      <c r="DA48" s="680"/>
      <c r="DB48" s="680"/>
      <c r="DC48" s="680"/>
      <c r="DD48" s="680"/>
      <c r="DE48" s="680"/>
      <c r="DF48" s="680"/>
      <c r="DG48" s="680"/>
      <c r="DH48" s="680"/>
      <c r="DI48" s="680"/>
      <c r="DJ48" s="1"/>
      <c r="DK48" s="1"/>
      <c r="DL48" s="1"/>
      <c r="DM48" s="1"/>
      <c r="DN48" s="1"/>
    </row>
    <row r="49" spans="16:109" ht="6" customHeight="1">
      <c r="P49" s="8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687"/>
      <c r="AY49" s="688"/>
      <c r="AZ49" s="688"/>
      <c r="BA49" s="688"/>
      <c r="BB49" s="688"/>
      <c r="BC49" s="688"/>
      <c r="BD49" s="688"/>
      <c r="BE49" s="688"/>
      <c r="BF49" s="689"/>
      <c r="BG49" s="81"/>
      <c r="BH49" s="1"/>
      <c r="BI49" s="687"/>
      <c r="BJ49" s="688"/>
      <c r="BK49" s="688"/>
      <c r="BL49" s="688"/>
      <c r="BM49" s="688"/>
      <c r="BN49" s="688"/>
      <c r="BO49" s="688"/>
      <c r="BP49" s="688"/>
      <c r="BQ49" s="689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81"/>
    </row>
    <row r="50" spans="16:109" ht="6" customHeight="1">
      <c r="P50" s="8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5"/>
      <c r="AX50" s="96"/>
      <c r="AY50" s="96"/>
      <c r="AZ50" s="96"/>
      <c r="BA50" s="96"/>
      <c r="BB50" s="96"/>
      <c r="BC50" s="96"/>
      <c r="BD50" s="96"/>
      <c r="BE50" s="96"/>
      <c r="BF50" s="96"/>
      <c r="BG50" s="97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5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02"/>
      <c r="DD50" s="103"/>
      <c r="DE50" s="81"/>
    </row>
    <row r="51" spans="16:109" ht="6" customHeight="1">
      <c r="P51" s="8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7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04"/>
      <c r="DD51" s="105"/>
      <c r="DE51" s="81"/>
    </row>
    <row r="52" spans="16:109" ht="6" customHeight="1">
      <c r="P52" s="8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77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9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9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04"/>
      <c r="DD52" s="105"/>
      <c r="DE52" s="81"/>
    </row>
    <row r="53" spans="16:109" ht="6" customHeight="1">
      <c r="P53" s="8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82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4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4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98"/>
      <c r="DD53" s="99"/>
      <c r="DE53" s="81"/>
    </row>
    <row r="54" spans="16:109" ht="6" customHeight="1">
      <c r="P54" s="8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8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79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8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79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8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98"/>
      <c r="DD54" s="99"/>
      <c r="DE54" s="81"/>
    </row>
    <row r="55" spans="16:109" ht="6" customHeight="1">
      <c r="P55" s="8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8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8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8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8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8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00"/>
      <c r="DD55" s="101"/>
      <c r="DE55" s="81"/>
    </row>
    <row r="56" spans="16:109" ht="6" customHeight="1">
      <c r="P56" s="8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8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8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8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8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8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81"/>
    </row>
    <row r="57" spans="16:109" ht="6" customHeight="1">
      <c r="P57" s="8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80"/>
      <c r="AE57" s="1"/>
      <c r="AF57" s="423" t="s">
        <v>1211</v>
      </c>
      <c r="AG57" s="423"/>
      <c r="AH57" s="423"/>
      <c r="AI57" s="423"/>
      <c r="AJ57" s="423"/>
      <c r="AK57" s="423"/>
      <c r="AL57" s="423"/>
      <c r="AM57" s="423"/>
      <c r="AN57" s="423"/>
      <c r="AO57" s="1"/>
      <c r="AP57" s="1"/>
      <c r="AQ57" s="8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8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8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8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81"/>
    </row>
    <row r="58" spans="16:119" ht="6" customHeight="1">
      <c r="P58" s="8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80"/>
      <c r="AE58" s="1"/>
      <c r="AF58" s="423"/>
      <c r="AG58" s="423"/>
      <c r="AH58" s="423"/>
      <c r="AI58" s="423"/>
      <c r="AJ58" s="423"/>
      <c r="AK58" s="423"/>
      <c r="AL58" s="423"/>
      <c r="AM58" s="423"/>
      <c r="AN58" s="423"/>
      <c r="AO58" s="1"/>
      <c r="AP58" s="1"/>
      <c r="AQ58" s="8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8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8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81"/>
      <c r="CR58" s="1"/>
      <c r="CS58" s="1"/>
      <c r="CT58" s="1"/>
      <c r="CU58" s="690" t="s">
        <v>1212</v>
      </c>
      <c r="CV58" s="690"/>
      <c r="CW58" s="690"/>
      <c r="CX58" s="690"/>
      <c r="CY58" s="690"/>
      <c r="CZ58" s="690"/>
      <c r="DA58" s="690"/>
      <c r="DB58" s="690"/>
      <c r="DC58" s="690"/>
      <c r="DD58" s="690"/>
      <c r="DE58" s="690"/>
      <c r="DF58" s="690"/>
      <c r="DG58" s="690"/>
      <c r="DH58" s="690"/>
      <c r="DI58" s="690"/>
      <c r="DJ58" s="690"/>
      <c r="DK58" s="690"/>
      <c r="DL58" s="690"/>
      <c r="DM58" s="690"/>
      <c r="DN58" s="690"/>
      <c r="DO58" s="690"/>
    </row>
    <row r="59" spans="16:119" ht="6" customHeight="1">
      <c r="P59" s="8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80"/>
      <c r="AE59" s="1"/>
      <c r="AF59" s="423"/>
      <c r="AG59" s="423"/>
      <c r="AH59" s="423"/>
      <c r="AI59" s="423"/>
      <c r="AJ59" s="423"/>
      <c r="AK59" s="423"/>
      <c r="AL59" s="423"/>
      <c r="AM59" s="423"/>
      <c r="AN59" s="423"/>
      <c r="AO59" s="1"/>
      <c r="AP59" s="1"/>
      <c r="AQ59" s="8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8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81"/>
      <c r="CR59" s="1"/>
      <c r="CS59" s="1"/>
      <c r="CT59" s="1"/>
      <c r="CU59" s="690"/>
      <c r="CV59" s="690"/>
      <c r="CW59" s="690"/>
      <c r="CX59" s="690"/>
      <c r="CY59" s="690"/>
      <c r="CZ59" s="690"/>
      <c r="DA59" s="690"/>
      <c r="DB59" s="690"/>
      <c r="DC59" s="690"/>
      <c r="DD59" s="690"/>
      <c r="DE59" s="690"/>
      <c r="DF59" s="690"/>
      <c r="DG59" s="690"/>
      <c r="DH59" s="690"/>
      <c r="DI59" s="690"/>
      <c r="DJ59" s="690"/>
      <c r="DK59" s="690"/>
      <c r="DL59" s="690"/>
      <c r="DM59" s="690"/>
      <c r="DN59" s="690"/>
      <c r="DO59" s="690"/>
    </row>
    <row r="60" spans="16:119" ht="6" customHeight="1">
      <c r="P60" s="8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80"/>
      <c r="AE60" s="1"/>
      <c r="AF60" s="423"/>
      <c r="AG60" s="423"/>
      <c r="AH60" s="423"/>
      <c r="AI60" s="423"/>
      <c r="AJ60" s="423"/>
      <c r="AK60" s="423"/>
      <c r="AL60" s="423"/>
      <c r="AM60" s="423"/>
      <c r="AN60" s="423"/>
      <c r="AO60" s="1"/>
      <c r="AP60" s="1"/>
      <c r="AQ60" s="8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8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8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81"/>
      <c r="CR60" s="1"/>
      <c r="CS60" s="1"/>
      <c r="CT60" s="1"/>
      <c r="CU60" s="690"/>
      <c r="CV60" s="690"/>
      <c r="CW60" s="690"/>
      <c r="CX60" s="690"/>
      <c r="CY60" s="690"/>
      <c r="CZ60" s="690"/>
      <c r="DA60" s="690"/>
      <c r="DB60" s="690"/>
      <c r="DC60" s="690"/>
      <c r="DD60" s="690"/>
      <c r="DE60" s="690"/>
      <c r="DF60" s="690"/>
      <c r="DG60" s="690"/>
      <c r="DH60" s="690"/>
      <c r="DI60" s="690"/>
      <c r="DJ60" s="690"/>
      <c r="DK60" s="690"/>
      <c r="DL60" s="690"/>
      <c r="DM60" s="690"/>
      <c r="DN60" s="690"/>
      <c r="DO60" s="690"/>
    </row>
    <row r="61" spans="16:119" ht="6" customHeight="1">
      <c r="P61" s="8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80"/>
      <c r="AE61" s="1"/>
      <c r="AF61" s="423"/>
      <c r="AG61" s="423"/>
      <c r="AH61" s="423"/>
      <c r="AI61" s="423"/>
      <c r="AJ61" s="423"/>
      <c r="AK61" s="423"/>
      <c r="AL61" s="423"/>
      <c r="AM61" s="423"/>
      <c r="AN61" s="423"/>
      <c r="AO61" s="1"/>
      <c r="AP61" s="1"/>
      <c r="AQ61" s="8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8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8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81"/>
      <c r="CR61" s="1"/>
      <c r="CS61" s="1"/>
      <c r="CT61" s="1"/>
      <c r="CU61" s="690"/>
      <c r="CV61" s="690"/>
      <c r="CW61" s="690"/>
      <c r="CX61" s="690"/>
      <c r="CY61" s="690"/>
      <c r="CZ61" s="690"/>
      <c r="DA61" s="690"/>
      <c r="DB61" s="690"/>
      <c r="DC61" s="690"/>
      <c r="DD61" s="690"/>
      <c r="DE61" s="690"/>
      <c r="DF61" s="690"/>
      <c r="DG61" s="690"/>
      <c r="DH61" s="690"/>
      <c r="DI61" s="690"/>
      <c r="DJ61" s="690"/>
      <c r="DK61" s="690"/>
      <c r="DL61" s="690"/>
      <c r="DM61" s="690"/>
      <c r="DN61" s="690"/>
      <c r="DO61" s="690"/>
    </row>
    <row r="62" spans="16:119" ht="6" customHeight="1">
      <c r="P62" s="8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8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81"/>
      <c r="AR62" s="82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4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4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81"/>
      <c r="CR62" s="1"/>
      <c r="CS62" s="1"/>
      <c r="CT62" s="1"/>
      <c r="CU62" s="679" t="s">
        <v>1213</v>
      </c>
      <c r="CV62" s="679"/>
      <c r="CW62" s="679"/>
      <c r="CX62" s="679"/>
      <c r="CY62" s="679"/>
      <c r="CZ62" s="679"/>
      <c r="DA62" s="679"/>
      <c r="DB62" s="679"/>
      <c r="DC62" s="679"/>
      <c r="DD62" s="679"/>
      <c r="DE62" s="679"/>
      <c r="DF62" s="679"/>
      <c r="DG62" s="679"/>
      <c r="DH62" s="679"/>
      <c r="DI62" s="679"/>
      <c r="DJ62" s="679"/>
      <c r="DK62" s="679"/>
      <c r="DL62" s="679"/>
      <c r="DM62" s="679"/>
      <c r="DN62" s="679"/>
      <c r="DO62" s="679"/>
    </row>
    <row r="63" spans="16:119" ht="6" customHeight="1">
      <c r="P63" s="8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8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8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8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8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81"/>
      <c r="CR63" s="1"/>
      <c r="CS63" s="1"/>
      <c r="CT63" s="1"/>
      <c r="CU63" s="679"/>
      <c r="CV63" s="679"/>
      <c r="CW63" s="679"/>
      <c r="CX63" s="679"/>
      <c r="CY63" s="679"/>
      <c r="CZ63" s="679"/>
      <c r="DA63" s="679"/>
      <c r="DB63" s="679"/>
      <c r="DC63" s="679"/>
      <c r="DD63" s="679"/>
      <c r="DE63" s="679"/>
      <c r="DF63" s="679"/>
      <c r="DG63" s="679"/>
      <c r="DH63" s="679"/>
      <c r="DI63" s="679"/>
      <c r="DJ63" s="679"/>
      <c r="DK63" s="679"/>
      <c r="DL63" s="679"/>
      <c r="DM63" s="679"/>
      <c r="DN63" s="679"/>
      <c r="DO63" s="679"/>
    </row>
    <row r="64" spans="16:119" ht="6" customHeight="1">
      <c r="P64" s="8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8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8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8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8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81"/>
      <c r="CR64" s="1"/>
      <c r="CS64" s="1"/>
      <c r="CT64" s="1"/>
      <c r="CU64" s="679"/>
      <c r="CV64" s="679"/>
      <c r="CW64" s="679"/>
      <c r="CX64" s="679"/>
      <c r="CY64" s="679"/>
      <c r="CZ64" s="679"/>
      <c r="DA64" s="679"/>
      <c r="DB64" s="679"/>
      <c r="DC64" s="679"/>
      <c r="DD64" s="679"/>
      <c r="DE64" s="679"/>
      <c r="DF64" s="679"/>
      <c r="DG64" s="679"/>
      <c r="DH64" s="679"/>
      <c r="DI64" s="679"/>
      <c r="DJ64" s="679"/>
      <c r="DK64" s="679"/>
      <c r="DL64" s="679"/>
      <c r="DM64" s="679"/>
      <c r="DN64" s="679"/>
      <c r="DO64" s="679"/>
    </row>
    <row r="65" spans="16:109" ht="6" customHeight="1">
      <c r="P65" s="8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8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8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8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8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8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81"/>
    </row>
    <row r="66" spans="16:109" ht="6" customHeight="1">
      <c r="P66" s="8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8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8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8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8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8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81"/>
    </row>
    <row r="67" spans="16:109" ht="6" customHeight="1">
      <c r="P67" s="8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8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8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8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8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8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81"/>
    </row>
    <row r="68" spans="16:109" ht="6" customHeight="1">
      <c r="P68" s="8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8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8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8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8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8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81"/>
    </row>
    <row r="69" spans="16:109" ht="6" customHeight="1">
      <c r="P69" s="8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80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8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8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8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8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81"/>
    </row>
    <row r="70" spans="16:109" ht="6" customHeight="1">
      <c r="P70" s="8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80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8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8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8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8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81"/>
    </row>
    <row r="71" spans="16:109" ht="6" customHeight="1">
      <c r="P71" s="8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82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4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4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4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4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81"/>
    </row>
    <row r="72" spans="16:109" ht="6" customHeight="1">
      <c r="P72" s="8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80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8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8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81"/>
    </row>
    <row r="73" spans="16:109" ht="6" customHeight="1">
      <c r="P73" s="8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4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4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81"/>
    </row>
    <row r="74" spans="16:109" ht="6" customHeight="1">
      <c r="P74" s="8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8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81"/>
    </row>
    <row r="75" spans="16:109" ht="6" customHeight="1">
      <c r="P75" s="8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8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81"/>
    </row>
    <row r="76" spans="16:109" ht="6" customHeight="1">
      <c r="P76" s="8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81"/>
    </row>
    <row r="77" spans="16:109" ht="6" customHeight="1">
      <c r="P77" s="8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81"/>
    </row>
    <row r="78" spans="16:109" ht="6" customHeight="1">
      <c r="P78" s="8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77"/>
      <c r="BG78" s="78"/>
      <c r="BH78" s="78"/>
      <c r="BI78" s="7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81"/>
    </row>
    <row r="79" spans="16:109" ht="6" customHeight="1">
      <c r="P79" s="8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80"/>
      <c r="BG79" s="1"/>
      <c r="BH79" s="1"/>
      <c r="BI79" s="8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81"/>
    </row>
    <row r="80" spans="16:109" ht="6" customHeight="1">
      <c r="P80" s="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BC80" s="1"/>
      <c r="BD80" s="1"/>
      <c r="BE80" s="1"/>
      <c r="BF80" s="82"/>
      <c r="BG80" s="83"/>
      <c r="BH80" s="83"/>
      <c r="BI80" s="84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81"/>
    </row>
    <row r="81" spans="16:109" ht="6" customHeight="1">
      <c r="P81" s="89"/>
      <c r="Q81" s="90"/>
      <c r="R81" s="90"/>
      <c r="S81" s="90"/>
      <c r="T81" s="90"/>
      <c r="U81" s="90"/>
      <c r="V81" s="90"/>
      <c r="W81" s="90"/>
      <c r="X81" s="9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89"/>
      <c r="CX81" s="90"/>
      <c r="CY81" s="90"/>
      <c r="CZ81" s="90"/>
      <c r="DA81" s="90"/>
      <c r="DB81" s="90"/>
      <c r="DC81" s="90"/>
      <c r="DD81" s="90"/>
      <c r="DE81" s="91"/>
    </row>
    <row r="82" spans="16:109" ht="6" customHeight="1">
      <c r="P82" s="92"/>
      <c r="Q82" s="93"/>
      <c r="R82" s="93"/>
      <c r="S82" s="93"/>
      <c r="T82" s="93"/>
      <c r="U82" s="93"/>
      <c r="V82" s="93"/>
      <c r="W82" s="93"/>
      <c r="X82" s="94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92"/>
      <c r="CX82" s="93"/>
      <c r="CY82" s="93"/>
      <c r="CZ82" s="93"/>
      <c r="DA82" s="93"/>
      <c r="DB82" s="93"/>
      <c r="DC82" s="93"/>
      <c r="DD82" s="93"/>
      <c r="DE82" s="94"/>
    </row>
  </sheetData>
  <mergeCells count="18">
    <mergeCell ref="L2:DE2"/>
    <mergeCell ref="E3:AA3"/>
    <mergeCell ref="D4:DI4"/>
    <mergeCell ref="E5:DE5"/>
    <mergeCell ref="Q45:Z47"/>
    <mergeCell ref="E6:DG6"/>
    <mergeCell ref="AE8:AM10"/>
    <mergeCell ref="Q10:AB12"/>
    <mergeCell ref="CV10:DE12"/>
    <mergeCell ref="AF57:AN61"/>
    <mergeCell ref="CU58:DO61"/>
    <mergeCell ref="AF23:AO28"/>
    <mergeCell ref="AX43:BF45"/>
    <mergeCell ref="BI43:BQ45"/>
    <mergeCell ref="CU62:DO64"/>
    <mergeCell ref="CY46:DI48"/>
    <mergeCell ref="AX47:BF49"/>
    <mergeCell ref="BI47:BQ49"/>
  </mergeCells>
  <printOptions/>
  <pageMargins left="0" right="0" top="0.7479166666666667" bottom="0.7479166666666667" header="0.3145833333333333" footer="0.314583333333333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2017-02-12T09:07:50Z</cp:lastPrinted>
  <dcterms:created xsi:type="dcterms:W3CDTF">2011-05-12T22:51:52Z</dcterms:created>
  <dcterms:modified xsi:type="dcterms:W3CDTF">2017-02-12T10:05:07Z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